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1.116\役場\004_産業経済課（新）\00_農政グループ\16_農畜産物の生産、流通対策、6次産業化\04_03_農地利用効率等支援交付金事業（経営体後身）【R4～】\R07_農地利用効率化等支援交付金(R7当初)\1.要望\02_町→農業者\"/>
    </mc:Choice>
  </mc:AlternateContent>
  <bookViews>
    <workbookView xWindow="0" yWindow="0" windowWidth="20700" windowHeight="7740" tabRatio="811" activeTab="3"/>
  </bookViews>
  <sheets>
    <sheet name="(作成用)付加価値額の拡大額算定" sheetId="31" r:id="rId1"/>
    <sheet name="(作成用)販売計画" sheetId="13" r:id="rId2"/>
    <sheet name="(作成用)収支計画" sheetId="15" r:id="rId3"/>
    <sheet name="(作成用)付加価値額計画" sheetId="27" r:id="rId4"/>
    <sheet name="販売計画 (記載例)" sheetId="29" r:id="rId5"/>
    <sheet name="収支計画（記載例）" sheetId="32" r:id="rId6"/>
    <sheet name="付加価値額計画 (記載例)" sheetId="30" r:id="rId7"/>
  </sheets>
  <externalReferences>
    <externalReference r:id="rId8"/>
  </externalReferences>
  <definedNames>
    <definedName name="_xlnm.Print_Area" localSheetId="2">'(作成用)収支計画'!$A$1:$L$40</definedName>
    <definedName name="_xlnm.Print_Area" localSheetId="1">'(作成用)販売計画'!$A$1:$L$50</definedName>
    <definedName name="_xlnm.Print_Area" localSheetId="3">'(作成用)付加価値額計画'!$A$1:$K$54</definedName>
    <definedName name="_xlnm.Print_Area" localSheetId="5">'収支計画（記載例）'!$A$1:$L$40</definedName>
    <definedName name="_xlnm.Print_Area" localSheetId="4">'販売計画 (記載例)'!$A$1:$L$40</definedName>
    <definedName name="_xlnm.Print_Area" localSheetId="6">'付加価値額計画 (記載例)'!$A$1:$K$51</definedName>
    <definedName name="管轄局" localSheetId="5">#REF!</definedName>
    <definedName name="管轄局" localSheetId="4">#REF!</definedName>
    <definedName name="管轄局">#REF!</definedName>
    <definedName name="政策目的" localSheetId="5">#REF!</definedName>
    <definedName name="政策目的" localSheetId="4">#REF!</definedName>
    <definedName name="政策目的">#REF!</definedName>
  </definedNames>
  <calcPr calcId="152511"/>
</workbook>
</file>

<file path=xl/calcChain.xml><?xml version="1.0" encoding="utf-8"?>
<calcChain xmlns="http://schemas.openxmlformats.org/spreadsheetml/2006/main">
  <c r="K13" i="31" l="1"/>
  <c r="K37" i="32" l="1"/>
  <c r="I37" i="32"/>
  <c r="G37" i="32"/>
  <c r="E37" i="32"/>
  <c r="K13" i="32"/>
  <c r="I13" i="32"/>
  <c r="G13" i="32"/>
  <c r="E13" i="32"/>
  <c r="K10" i="32"/>
  <c r="K40" i="32" s="1"/>
  <c r="I10" i="32"/>
  <c r="I40" i="32" s="1"/>
  <c r="G10" i="32"/>
  <c r="G40" i="32" s="1"/>
  <c r="E10" i="32"/>
  <c r="E40" i="32" s="1"/>
  <c r="G10" i="31" l="1"/>
  <c r="C10" i="31"/>
  <c r="K9" i="31" l="1"/>
  <c r="K7" i="31"/>
  <c r="K8" i="31"/>
  <c r="J46" i="30"/>
  <c r="I46" i="30"/>
  <c r="H46" i="30"/>
  <c r="G46" i="30"/>
  <c r="F45" i="30"/>
  <c r="G45" i="30" s="1"/>
  <c r="H45" i="30" s="1"/>
  <c r="I45" i="30" s="1"/>
  <c r="G44" i="30"/>
  <c r="H44" i="30" s="1"/>
  <c r="I44" i="30" s="1"/>
  <c r="J44" i="30" s="1"/>
  <c r="G43" i="30"/>
  <c r="H43" i="30" s="1"/>
  <c r="I43" i="30" s="1"/>
  <c r="J43" i="30" s="1"/>
  <c r="G42" i="30"/>
  <c r="H42" i="30" s="1"/>
  <c r="I42" i="30" s="1"/>
  <c r="J42" i="30" s="1"/>
  <c r="J41" i="30"/>
  <c r="I41" i="30"/>
  <c r="H41" i="30"/>
  <c r="G41" i="30"/>
  <c r="J40" i="30"/>
  <c r="J39" i="30"/>
  <c r="F39" i="30"/>
  <c r="I38" i="30"/>
  <c r="H38" i="30"/>
  <c r="G38" i="30"/>
  <c r="F38" i="30"/>
  <c r="J38" i="30" s="1"/>
  <c r="F37" i="30"/>
  <c r="F35" i="30"/>
  <c r="F34" i="30"/>
  <c r="F33" i="30"/>
  <c r="I33" i="30" s="1"/>
  <c r="I32" i="30" s="1"/>
  <c r="F32" i="30"/>
  <c r="F31" i="30"/>
  <c r="F30" i="30"/>
  <c r="I29" i="30"/>
  <c r="I28" i="30" s="1"/>
  <c r="H29" i="30"/>
  <c r="G29" i="30"/>
  <c r="H28" i="30"/>
  <c r="G28" i="30"/>
  <c r="I27" i="30"/>
  <c r="H27" i="30"/>
  <c r="G27" i="30"/>
  <c r="G26" i="30" s="1"/>
  <c r="I26" i="30"/>
  <c r="H26" i="30"/>
  <c r="I25" i="30"/>
  <c r="I24" i="30" s="1"/>
  <c r="H25" i="30"/>
  <c r="G25" i="30"/>
  <c r="H24" i="30"/>
  <c r="G24" i="30"/>
  <c r="I23" i="30"/>
  <c r="H23" i="30"/>
  <c r="G23" i="30"/>
  <c r="G22" i="30" s="1"/>
  <c r="I22" i="30"/>
  <c r="H22" i="30"/>
  <c r="I21" i="30"/>
  <c r="I20" i="30" s="1"/>
  <c r="H21" i="30"/>
  <c r="G21" i="30"/>
  <c r="H20" i="30"/>
  <c r="G20" i="30"/>
  <c r="I19" i="30"/>
  <c r="H19" i="30"/>
  <c r="G19" i="30"/>
  <c r="G18" i="30" s="1"/>
  <c r="I18" i="30"/>
  <c r="H18" i="30"/>
  <c r="F16" i="30"/>
  <c r="I16" i="30" s="1"/>
  <c r="I10" i="30" s="1"/>
  <c r="F15" i="30"/>
  <c r="J15" i="30" s="1"/>
  <c r="F14" i="30"/>
  <c r="J14" i="30" s="1"/>
  <c r="F13" i="30"/>
  <c r="J13" i="30" s="1"/>
  <c r="F12" i="30"/>
  <c r="G31" i="30" s="1"/>
  <c r="G30" i="30" s="1"/>
  <c r="F11" i="30"/>
  <c r="F29" i="30" s="1"/>
  <c r="J29" i="30" s="1"/>
  <c r="F21" i="30" l="1"/>
  <c r="J21" i="30" s="1"/>
  <c r="H35" i="30"/>
  <c r="H34" i="30" s="1"/>
  <c r="F25" i="30"/>
  <c r="J25" i="30" s="1"/>
  <c r="I37" i="30"/>
  <c r="I36" i="30" s="1"/>
  <c r="F20" i="30"/>
  <c r="F28" i="30"/>
  <c r="J28" i="30" s="1"/>
  <c r="F24" i="30"/>
  <c r="G34" i="30"/>
  <c r="G35" i="30"/>
  <c r="J20" i="30"/>
  <c r="J24" i="30"/>
  <c r="J32" i="30"/>
  <c r="J16" i="30"/>
  <c r="F10" i="30"/>
  <c r="H31" i="30"/>
  <c r="H30" i="30" s="1"/>
  <c r="J33" i="30"/>
  <c r="H16" i="30"/>
  <c r="H10" i="30" s="1"/>
  <c r="I31" i="30"/>
  <c r="I30" i="30" s="1"/>
  <c r="G33" i="30"/>
  <c r="G32" i="30" s="1"/>
  <c r="G17" i="30" s="1"/>
  <c r="I35" i="30"/>
  <c r="I34" i="30" s="1"/>
  <c r="J34" i="30" s="1"/>
  <c r="G37" i="30"/>
  <c r="G36" i="30" s="1"/>
  <c r="J45" i="30"/>
  <c r="J12" i="30"/>
  <c r="G16" i="30"/>
  <c r="G10" i="30" s="1"/>
  <c r="J11" i="30"/>
  <c r="F19" i="30"/>
  <c r="F23" i="30"/>
  <c r="F27" i="30"/>
  <c r="H33" i="30"/>
  <c r="H32" i="30" s="1"/>
  <c r="H37" i="30"/>
  <c r="H36" i="30" s="1"/>
  <c r="F36" i="30"/>
  <c r="J36" i="30" s="1"/>
  <c r="J37" i="30" l="1"/>
  <c r="I17" i="30"/>
  <c r="I48" i="30" s="1"/>
  <c r="H17" i="30"/>
  <c r="H48" i="30" s="1"/>
  <c r="J10" i="30"/>
  <c r="J30" i="30"/>
  <c r="J27" i="30"/>
  <c r="F26" i="30"/>
  <c r="J26" i="30" s="1"/>
  <c r="J19" i="30"/>
  <c r="F18" i="30"/>
  <c r="J31" i="30"/>
  <c r="G47" i="30"/>
  <c r="G48" i="30"/>
  <c r="J23" i="30"/>
  <c r="F22" i="30"/>
  <c r="J22" i="30" s="1"/>
  <c r="J35" i="30"/>
  <c r="H47" i="30" l="1"/>
  <c r="I47" i="30"/>
  <c r="J18" i="30"/>
  <c r="F17" i="30"/>
  <c r="J17" i="30" l="1"/>
  <c r="F48" i="30"/>
  <c r="J48" i="30" s="1"/>
  <c r="F47" i="30"/>
  <c r="J47" i="30" s="1"/>
  <c r="F16" i="27" l="1"/>
  <c r="J16" i="27" s="1"/>
  <c r="F15" i="27"/>
  <c r="J15" i="27" s="1"/>
  <c r="F14" i="27"/>
  <c r="J14" i="27" s="1"/>
  <c r="E37" i="15"/>
  <c r="J30" i="13" l="1"/>
  <c r="H30" i="13"/>
  <c r="F30" i="13"/>
  <c r="D30" i="13"/>
  <c r="J33" i="29"/>
  <c r="H33" i="29"/>
  <c r="F33" i="29"/>
  <c r="D33" i="29"/>
  <c r="J30" i="29"/>
  <c r="H30" i="29"/>
  <c r="F30" i="29"/>
  <c r="D30" i="29"/>
  <c r="J27" i="29"/>
  <c r="J34" i="29" s="1"/>
  <c r="J35" i="29" s="1"/>
  <c r="H27" i="29"/>
  <c r="H34" i="29" s="1"/>
  <c r="H35" i="29" s="1"/>
  <c r="F27" i="29"/>
  <c r="F34" i="29" s="1"/>
  <c r="F35" i="29" s="1"/>
  <c r="D27" i="29"/>
  <c r="D34" i="29" s="1"/>
  <c r="L24" i="29"/>
  <c r="L38" i="29" s="1"/>
  <c r="J24" i="29"/>
  <c r="J38" i="29" s="1"/>
  <c r="H24" i="29"/>
  <c r="H38" i="29" s="1"/>
  <c r="F24" i="29"/>
  <c r="F38" i="29" s="1"/>
  <c r="D24" i="29"/>
  <c r="D38" i="29" s="1"/>
  <c r="J17" i="29"/>
  <c r="J19" i="29" s="1"/>
  <c r="H17" i="29"/>
  <c r="H19" i="29" s="1"/>
  <c r="F17" i="29"/>
  <c r="F19" i="29" s="1"/>
  <c r="D17" i="29"/>
  <c r="D19" i="29" s="1"/>
  <c r="J12" i="29"/>
  <c r="J14" i="29" s="1"/>
  <c r="H12" i="29"/>
  <c r="H14" i="29" s="1"/>
  <c r="F12" i="29"/>
  <c r="F14" i="29" s="1"/>
  <c r="D12" i="29"/>
  <c r="D14" i="29" s="1"/>
  <c r="J7" i="29"/>
  <c r="J9" i="29" s="1"/>
  <c r="J20" i="29" s="1"/>
  <c r="H7" i="29"/>
  <c r="H9" i="29" s="1"/>
  <c r="H20" i="29" s="1"/>
  <c r="F7" i="29"/>
  <c r="F9" i="29" s="1"/>
  <c r="F20" i="29" s="1"/>
  <c r="D7" i="29"/>
  <c r="D9" i="29" s="1"/>
  <c r="D20" i="29" s="1"/>
  <c r="D39" i="29" s="1"/>
  <c r="F39" i="29" l="1"/>
  <c r="F40" i="29" s="1"/>
  <c r="F21" i="29"/>
  <c r="H39" i="29"/>
  <c r="H40" i="29" s="1"/>
  <c r="H21" i="29"/>
  <c r="J21" i="29"/>
  <c r="J39" i="29"/>
  <c r="J40" i="29" s="1"/>
  <c r="F34" i="13"/>
  <c r="H34" i="13"/>
  <c r="J34" i="13"/>
  <c r="F19" i="27" l="1"/>
  <c r="F18" i="27"/>
  <c r="J18" i="27" s="1"/>
  <c r="F11" i="27"/>
  <c r="L34" i="13" l="1"/>
  <c r="L48" i="13" s="1"/>
  <c r="J48" i="27" l="1"/>
  <c r="J11" i="27"/>
  <c r="G37" i="15" l="1"/>
  <c r="I37" i="15"/>
  <c r="K37" i="15"/>
  <c r="J42" i="27" l="1"/>
  <c r="J29" i="27" l="1"/>
  <c r="J24" i="27"/>
  <c r="J21" i="27"/>
  <c r="J27" i="27"/>
  <c r="J28" i="27"/>
  <c r="J40" i="27"/>
  <c r="J25" i="27"/>
  <c r="J26" i="27"/>
  <c r="J30" i="27"/>
  <c r="J22" i="27"/>
  <c r="J45" i="27"/>
  <c r="J23" i="27" l="1"/>
  <c r="J38" i="27"/>
  <c r="J37" i="27"/>
  <c r="H19" i="27"/>
  <c r="H10" i="27" s="1"/>
  <c r="J43" i="27"/>
  <c r="J44" i="27"/>
  <c r="J49" i="27"/>
  <c r="J47" i="27"/>
  <c r="J46" i="27"/>
  <c r="G19" i="27"/>
  <c r="G10" i="27" s="1"/>
  <c r="F20" i="27" l="1"/>
  <c r="J32" i="27"/>
  <c r="I19" i="27"/>
  <c r="J39" i="27"/>
  <c r="J19" i="27" l="1"/>
  <c r="I10" i="27"/>
  <c r="J31" i="27"/>
  <c r="J41" i="27"/>
  <c r="J36" i="27" l="1"/>
  <c r="J35" i="27" l="1"/>
  <c r="F13" i="27" l="1"/>
  <c r="F12" i="27"/>
  <c r="F17" i="27"/>
  <c r="J17" i="27" s="1"/>
  <c r="J12" i="27" l="1"/>
  <c r="H20" i="27"/>
  <c r="G20" i="27"/>
  <c r="F10" i="27"/>
  <c r="J13" i="27"/>
  <c r="K13" i="15"/>
  <c r="I13" i="15"/>
  <c r="G13" i="15"/>
  <c r="E13" i="15"/>
  <c r="J34" i="27" l="1"/>
  <c r="G50" i="27"/>
  <c r="G51" i="27"/>
  <c r="H50" i="27"/>
  <c r="H51" i="27"/>
  <c r="F51" i="27"/>
  <c r="J10" i="27"/>
  <c r="F50" i="27"/>
  <c r="J43" i="13"/>
  <c r="H43" i="13"/>
  <c r="F43" i="13"/>
  <c r="D43" i="13"/>
  <c r="J40" i="13"/>
  <c r="H40" i="13"/>
  <c r="F40" i="13"/>
  <c r="D40" i="13"/>
  <c r="J37" i="13"/>
  <c r="H37" i="13"/>
  <c r="F37" i="13"/>
  <c r="D37" i="13"/>
  <c r="I20" i="27" l="1"/>
  <c r="J33" i="27"/>
  <c r="F48" i="13"/>
  <c r="H48" i="13"/>
  <c r="J48" i="13"/>
  <c r="D34" i="13"/>
  <c r="D48" i="13" s="1"/>
  <c r="J20" i="27" l="1"/>
  <c r="I50" i="27"/>
  <c r="J50" i="27" s="1"/>
  <c r="I51" i="27"/>
  <c r="J51" i="27" s="1"/>
  <c r="J44" i="13"/>
  <c r="J45" i="13" s="1"/>
  <c r="F44" i="13"/>
  <c r="F45" i="13" s="1"/>
  <c r="D44" i="13"/>
  <c r="K10" i="15"/>
  <c r="I10" i="15"/>
  <c r="G10" i="15"/>
  <c r="E10" i="15"/>
  <c r="H44" i="13"/>
  <c r="H45" i="13" s="1"/>
  <c r="G40" i="15" l="1"/>
  <c r="I40" i="15"/>
  <c r="K40" i="15"/>
  <c r="E40" i="15"/>
  <c r="F49" i="13"/>
  <c r="H49" i="13"/>
  <c r="D49" i="13" l="1"/>
  <c r="J31" i="13"/>
  <c r="H31" i="13"/>
  <c r="F31" i="13"/>
  <c r="J49" i="13"/>
  <c r="F50" i="13" l="1"/>
  <c r="J50" i="13"/>
  <c r="H50" i="13"/>
</calcChain>
</file>

<file path=xl/comments1.xml><?xml version="1.0" encoding="utf-8"?>
<comments xmlns="http://schemas.openxmlformats.org/spreadsheetml/2006/main">
  <authors>
    <author>東海農政局</author>
  </authors>
  <commentList>
    <comment ref="D4" authorId="0" shapeId="0">
      <text>
        <r>
          <rPr>
            <sz val="9"/>
            <color indexed="81"/>
            <rFont val="ＭＳ Ｐゴシック"/>
            <family val="3"/>
            <charset val="128"/>
          </rPr>
          <t>現状は計画承認時点で客観的に把握できる直近の資料を用いて記入する。</t>
        </r>
      </text>
    </comment>
    <comment ref="L4" authorId="0" shapeId="0">
      <text>
        <r>
          <rPr>
            <sz val="9"/>
            <color indexed="81"/>
            <rFont val="ＭＳ Ｐゴシック"/>
            <family val="3"/>
            <charset val="128"/>
          </rPr>
          <t>生産規模、単収、販売単価等の根拠を記載する。
必要に応じて参考資料を添付する。</t>
        </r>
      </text>
    </comment>
    <comment ref="B6" authorId="0" shapeId="0">
      <text>
        <r>
          <rPr>
            <sz val="9"/>
            <color indexed="81"/>
            <rFont val="ＭＳ Ｐゴシック"/>
            <family val="3"/>
            <charset val="128"/>
          </rPr>
          <t>機械導入による効果がある場合は反映させる（例：ロータリー導入により排水性が向上し、小麦や大豆の単収が向上するなど。またその旨を備考に記載）</t>
        </r>
      </text>
    </comment>
    <comment ref="B8" authorId="0" shapeId="0">
      <text>
        <r>
          <rPr>
            <sz val="9"/>
            <color indexed="81"/>
            <rFont val="ＭＳ Ｐゴシック"/>
            <family val="3"/>
            <charset val="128"/>
          </rPr>
          <t>機械導入効果がある場合は反映させる（例：コンバイン導入により適期収穫が可能となり、一等級玄米の出荷割合が増加し単価が向上するなど。またその旨を備考に記載）</t>
        </r>
      </text>
    </comment>
    <comment ref="J49" authorId="0" shapeId="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List>
</comments>
</file>

<file path=xl/comments2.xml><?xml version="1.0" encoding="utf-8"?>
<comments xmlns="http://schemas.openxmlformats.org/spreadsheetml/2006/main">
  <authors>
    <author>東海農政局</author>
  </authors>
  <commentList>
    <comment ref="I51" authorId="0" shapeId="0">
      <text>
        <r>
          <rPr>
            <sz val="9"/>
            <color indexed="81"/>
            <rFont val="ＭＳ Ｐゴシック"/>
            <family val="3"/>
            <charset val="128"/>
          </rPr>
          <t>新規就農者にあっては、青年等就農計画等に記載された年間農業所得目標から換算された付加価値額又は現状の付加価値額に1.1を乗じた付加価値額のうち、いずれか高いものが目標となっていること</t>
        </r>
      </text>
    </comment>
  </commentList>
</comments>
</file>

<file path=xl/comments3.xml><?xml version="1.0" encoding="utf-8"?>
<comments xmlns="http://schemas.openxmlformats.org/spreadsheetml/2006/main">
  <authors>
    <author>東海農政局</author>
  </authors>
  <commentList>
    <comment ref="D4" authorId="0" shapeId="0">
      <text>
        <r>
          <rPr>
            <sz val="9"/>
            <color indexed="81"/>
            <rFont val="ＭＳ Ｐゴシック"/>
            <family val="3"/>
            <charset val="128"/>
          </rPr>
          <t>現状は計画承認時点で客観的に把握できる直近の資料を用いて記入する。</t>
        </r>
      </text>
    </comment>
    <comment ref="L4" authorId="0" shapeId="0">
      <text>
        <r>
          <rPr>
            <sz val="9"/>
            <color indexed="81"/>
            <rFont val="ＭＳ Ｐゴシック"/>
            <family val="3"/>
            <charset val="128"/>
          </rPr>
          <t>生産規模、単収、販売単価等の根拠を記載する。
必要に応じて参考資料を添付する。</t>
        </r>
      </text>
    </comment>
    <comment ref="B6" authorId="0" shapeId="0">
      <text>
        <r>
          <rPr>
            <sz val="9"/>
            <color indexed="81"/>
            <rFont val="ＭＳ Ｐゴシック"/>
            <family val="3"/>
            <charset val="128"/>
          </rPr>
          <t>機械導入による効果がある場合は反映させる（例：ロータリー導入により排水性が向上し、小麦や大豆の単収が向上するなど。またその旨を備考に記載）</t>
        </r>
      </text>
    </comment>
    <comment ref="B8" authorId="0" shapeId="0">
      <text>
        <r>
          <rPr>
            <sz val="9"/>
            <color indexed="81"/>
            <rFont val="ＭＳ Ｐゴシック"/>
            <family val="3"/>
            <charset val="128"/>
          </rPr>
          <t>機械導入効果がある場合は反映させる（例：コンバイン導入により適期収穫が可能となり、一等級玄米の出荷割合が増加し単価が向上するなど。またその旨を備考に記載）</t>
        </r>
      </text>
    </comment>
    <comment ref="J39" authorId="0" shapeId="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List>
</comments>
</file>

<file path=xl/comments4.xml><?xml version="1.0" encoding="utf-8"?>
<comments xmlns="http://schemas.openxmlformats.org/spreadsheetml/2006/main">
  <authors>
    <author>東海農政局</author>
  </authors>
  <commentList>
    <comment ref="I48" authorId="0" shapeId="0">
      <text>
        <r>
          <rPr>
            <sz val="9"/>
            <color indexed="81"/>
            <rFont val="ＭＳ Ｐゴシック"/>
            <family val="3"/>
            <charset val="128"/>
          </rPr>
          <t>新規就農者にあっては、青年等就農計画等に記載された年間農業所得目標から換算された付加価値額又は現状の付加価値額に1.1を乗じた付加価値額のうち、いずれか高いものが目標となっていること</t>
        </r>
      </text>
    </comment>
  </commentList>
</comments>
</file>

<file path=xl/sharedStrings.xml><?xml version="1.0" encoding="utf-8"?>
<sst xmlns="http://schemas.openxmlformats.org/spreadsheetml/2006/main" count="963" uniqueCount="262">
  <si>
    <t>ａ</t>
    <phoneticPr fontId="1"/>
  </si>
  <si>
    <t>－</t>
    <phoneticPr fontId="1"/>
  </si>
  <si>
    <t>○○の農業経営の現状と今後の販売計画</t>
    <rPh sb="3" eb="5">
      <t>ノウギョウ</t>
    </rPh>
    <rPh sb="5" eb="7">
      <t>ケイエイ</t>
    </rPh>
    <rPh sb="8" eb="10">
      <t>ゲンジョウ</t>
    </rPh>
    <rPh sb="11" eb="13">
      <t>コンゴ</t>
    </rPh>
    <rPh sb="14" eb="16">
      <t>ハンバイ</t>
    </rPh>
    <rPh sb="16" eb="18">
      <t>ケイカク</t>
    </rPh>
    <phoneticPr fontId="1"/>
  </si>
  <si>
    <t>【農産物生産・販売の部】</t>
    <rPh sb="1" eb="4">
      <t>ノウサンブツ</t>
    </rPh>
    <rPh sb="4" eb="6">
      <t>セイサン</t>
    </rPh>
    <rPh sb="7" eb="9">
      <t>ハンバイ</t>
    </rPh>
    <rPh sb="10" eb="11">
      <t>ブ</t>
    </rPh>
    <phoneticPr fontId="1"/>
  </si>
  <si>
    <t>水稲</t>
    <rPh sb="0" eb="2">
      <t>スイトウ</t>
    </rPh>
    <phoneticPr fontId="1"/>
  </si>
  <si>
    <t>生産規模</t>
    <rPh sb="0" eb="2">
      <t>セイサン</t>
    </rPh>
    <rPh sb="2" eb="4">
      <t>キボ</t>
    </rPh>
    <phoneticPr fontId="1"/>
  </si>
  <si>
    <t>①</t>
    <phoneticPr fontId="1"/>
  </si>
  <si>
    <t>単収</t>
    <rPh sb="0" eb="1">
      <t>タン</t>
    </rPh>
    <rPh sb="1" eb="2">
      <t>シュウ</t>
    </rPh>
    <phoneticPr fontId="1"/>
  </si>
  <si>
    <t>②</t>
    <phoneticPr fontId="1"/>
  </si>
  <si>
    <t>kg/10a</t>
    <phoneticPr fontId="1"/>
  </si>
  <si>
    <t>生産量</t>
    <rPh sb="0" eb="2">
      <t>セイサン</t>
    </rPh>
    <rPh sb="2" eb="3">
      <t>リョウ</t>
    </rPh>
    <phoneticPr fontId="1"/>
  </si>
  <si>
    <t>kg</t>
    <phoneticPr fontId="1"/>
  </si>
  <si>
    <t>販売単価</t>
    <rPh sb="0" eb="2">
      <t>ハンバイ</t>
    </rPh>
    <rPh sb="2" eb="4">
      <t>タンカ</t>
    </rPh>
    <phoneticPr fontId="1"/>
  </si>
  <si>
    <t>④</t>
    <phoneticPr fontId="1"/>
  </si>
  <si>
    <t>円/kg</t>
    <rPh sb="0" eb="1">
      <t>エン</t>
    </rPh>
    <phoneticPr fontId="1"/>
  </si>
  <si>
    <t>販売額</t>
    <rPh sb="0" eb="2">
      <t>ハンバイ</t>
    </rPh>
    <rPh sb="2" eb="3">
      <t>ガク</t>
    </rPh>
    <phoneticPr fontId="1"/>
  </si>
  <si>
    <t>③×④</t>
    <phoneticPr fontId="1"/>
  </si>
  <si>
    <t>円</t>
    <rPh sb="0" eb="1">
      <t>エン</t>
    </rPh>
    <phoneticPr fontId="1"/>
  </si>
  <si>
    <t>①</t>
    <phoneticPr fontId="1"/>
  </si>
  <si>
    <t>②</t>
    <phoneticPr fontId="1"/>
  </si>
  <si>
    <t>kg</t>
    <phoneticPr fontId="1"/>
  </si>
  <si>
    <t>④</t>
    <phoneticPr fontId="1"/>
  </si>
  <si>
    <t>③×④</t>
    <phoneticPr fontId="1"/>
  </si>
  <si>
    <t>販売額　計</t>
    <rPh sb="0" eb="2">
      <t>ハンバイ</t>
    </rPh>
    <rPh sb="2" eb="3">
      <t>ガク</t>
    </rPh>
    <rPh sb="4" eb="5">
      <t>ケイ</t>
    </rPh>
    <phoneticPr fontId="1"/>
  </si>
  <si>
    <t>⑤</t>
    <phoneticPr fontId="1"/>
  </si>
  <si>
    <t>製品名</t>
    <rPh sb="0" eb="3">
      <t>セイヒンメイ</t>
    </rPh>
    <phoneticPr fontId="1"/>
  </si>
  <si>
    <t>製造量</t>
    <rPh sb="0" eb="2">
      <t>セイゾウ</t>
    </rPh>
    <rPh sb="2" eb="3">
      <t>リョウ</t>
    </rPh>
    <phoneticPr fontId="1"/>
  </si>
  <si>
    <t>①×②</t>
    <phoneticPr fontId="1"/>
  </si>
  <si>
    <t>⑥</t>
    <phoneticPr fontId="1"/>
  </si>
  <si>
    <t>【販売額　総計】</t>
    <rPh sb="1" eb="3">
      <t>ハンバイ</t>
    </rPh>
    <rPh sb="3" eb="4">
      <t>ガク</t>
    </rPh>
    <rPh sb="5" eb="7">
      <t>ソウケイ</t>
    </rPh>
    <phoneticPr fontId="1"/>
  </si>
  <si>
    <t>⑤＋⑥</t>
    <phoneticPr fontId="1"/>
  </si>
  <si>
    <t>【収入の部】</t>
  </si>
  <si>
    <t>区　　分</t>
    <phoneticPr fontId="1"/>
  </si>
  <si>
    <t>収入の内容</t>
  </si>
  <si>
    <t>金額</t>
  </si>
  <si>
    <t>算出基礎</t>
  </si>
  <si>
    <t>収入計（①）</t>
  </si>
  <si>
    <t>【支出の部】</t>
  </si>
  <si>
    <t>区　　分</t>
    <phoneticPr fontId="1"/>
  </si>
  <si>
    <t>経費の内容</t>
  </si>
  <si>
    <t>減価償却費</t>
    <rPh sb="0" eb="2">
      <t>ゲンカ</t>
    </rPh>
    <rPh sb="2" eb="5">
      <t>ショウキャクヒ</t>
    </rPh>
    <phoneticPr fontId="1"/>
  </si>
  <si>
    <t>現状</t>
    <rPh sb="0" eb="2">
      <t>ゲンジョウ</t>
    </rPh>
    <phoneticPr fontId="1"/>
  </si>
  <si>
    <t>１年度目</t>
    <rPh sb="1" eb="3">
      <t>ネンド</t>
    </rPh>
    <rPh sb="3" eb="4">
      <t>メ</t>
    </rPh>
    <phoneticPr fontId="1"/>
  </si>
  <si>
    <t>２年度目</t>
    <rPh sb="1" eb="3">
      <t>ネンド</t>
    </rPh>
    <rPh sb="3" eb="4">
      <t>メ</t>
    </rPh>
    <phoneticPr fontId="1"/>
  </si>
  <si>
    <t>租税公課</t>
    <rPh sb="0" eb="2">
      <t>ソゼイ</t>
    </rPh>
    <rPh sb="2" eb="4">
      <t>コウカ</t>
    </rPh>
    <phoneticPr fontId="1"/>
  </si>
  <si>
    <t>種苗費</t>
    <phoneticPr fontId="1"/>
  </si>
  <si>
    <t>肥料費</t>
    <rPh sb="0" eb="3">
      <t>ヒリョウヒ</t>
    </rPh>
    <phoneticPr fontId="1"/>
  </si>
  <si>
    <t>農薬費</t>
    <rPh sb="0" eb="2">
      <t>ノウヤク</t>
    </rPh>
    <rPh sb="2" eb="3">
      <t>ヒ</t>
    </rPh>
    <phoneticPr fontId="1"/>
  </si>
  <si>
    <t>諸材料費</t>
    <rPh sb="0" eb="1">
      <t>ショ</t>
    </rPh>
    <rPh sb="1" eb="4">
      <t>ザイリョウヒ</t>
    </rPh>
    <phoneticPr fontId="1"/>
  </si>
  <si>
    <t>動力光熱費</t>
    <rPh sb="0" eb="2">
      <t>ドウリョク</t>
    </rPh>
    <rPh sb="2" eb="5">
      <t>コウネツヒ</t>
    </rPh>
    <phoneticPr fontId="1"/>
  </si>
  <si>
    <t>農具費</t>
    <rPh sb="0" eb="2">
      <t>ノウグ</t>
    </rPh>
    <rPh sb="2" eb="3">
      <t>ヒ</t>
    </rPh>
    <phoneticPr fontId="1"/>
  </si>
  <si>
    <t>修繕費</t>
    <rPh sb="0" eb="3">
      <t>シュウゼンヒ</t>
    </rPh>
    <phoneticPr fontId="1"/>
  </si>
  <si>
    <t>作業委託料</t>
    <rPh sb="0" eb="2">
      <t>サギョウ</t>
    </rPh>
    <rPh sb="2" eb="5">
      <t>イタクリョウ</t>
    </rPh>
    <phoneticPr fontId="1"/>
  </si>
  <si>
    <t>地代・賃借料</t>
    <rPh sb="0" eb="2">
      <t>チダイ</t>
    </rPh>
    <rPh sb="3" eb="6">
      <t>チンシャクリョウ</t>
    </rPh>
    <phoneticPr fontId="1"/>
  </si>
  <si>
    <t>農業共済掛金</t>
    <rPh sb="0" eb="2">
      <t>ノウギョウ</t>
    </rPh>
    <rPh sb="2" eb="4">
      <t>キョウサイ</t>
    </rPh>
    <rPh sb="4" eb="6">
      <t>カケキン</t>
    </rPh>
    <phoneticPr fontId="1"/>
  </si>
  <si>
    <t>土地改良費</t>
    <rPh sb="0" eb="2">
      <t>トチ</t>
    </rPh>
    <rPh sb="2" eb="5">
      <t>カイリョウヒ</t>
    </rPh>
    <phoneticPr fontId="1"/>
  </si>
  <si>
    <t>ａ</t>
  </si>
  <si>
    <t>kg/10a</t>
  </si>
  <si>
    <t>kg</t>
  </si>
  <si>
    <t>円/kg</t>
  </si>
  <si>
    <t>円</t>
  </si>
  <si>
    <t>①</t>
    <phoneticPr fontId="1"/>
  </si>
  <si>
    <t>②</t>
    <phoneticPr fontId="1"/>
  </si>
  <si>
    <t>④</t>
    <phoneticPr fontId="1"/>
  </si>
  <si>
    <t>③×④</t>
    <phoneticPr fontId="1"/>
  </si>
  <si>
    <t>％</t>
    <phoneticPr fontId="1"/>
  </si>
  <si>
    <t>－</t>
    <phoneticPr fontId="1"/>
  </si>
  <si>
    <t>現状比</t>
    <rPh sb="0" eb="2">
      <t>ゲンジョウ</t>
    </rPh>
    <rPh sb="2" eb="3">
      <t>ヒ</t>
    </rPh>
    <phoneticPr fontId="1"/>
  </si>
  <si>
    <t>目標年度</t>
    <rPh sb="0" eb="2">
      <t>モクヒョウ</t>
    </rPh>
    <rPh sb="2" eb="4">
      <t>ネンド</t>
    </rPh>
    <phoneticPr fontId="1"/>
  </si>
  <si>
    <t>租税公課</t>
    <rPh sb="0" eb="2">
      <t>ソゼイ</t>
    </rPh>
    <rPh sb="2" eb="4">
      <t>コウカ</t>
    </rPh>
    <phoneticPr fontId="1"/>
  </si>
  <si>
    <t>だいこん</t>
    <phoneticPr fontId="1"/>
  </si>
  <si>
    <t>地代・賃借料</t>
    <rPh sb="0" eb="2">
      <t>チダイ</t>
    </rPh>
    <phoneticPr fontId="1"/>
  </si>
  <si>
    <t>雇人費</t>
    <rPh sb="0" eb="1">
      <t>ヤトイ</t>
    </rPh>
    <rPh sb="1" eb="2">
      <t>ジン</t>
    </rPh>
    <rPh sb="2" eb="3">
      <t>ヒ</t>
    </rPh>
    <phoneticPr fontId="1"/>
  </si>
  <si>
    <t>荷造運搬手数料</t>
    <rPh sb="0" eb="2">
      <t>ニヅク</t>
    </rPh>
    <rPh sb="2" eb="4">
      <t>ウンパン</t>
    </rPh>
    <rPh sb="4" eb="7">
      <t>テスウリョウ</t>
    </rPh>
    <phoneticPr fontId="1"/>
  </si>
  <si>
    <t>材料費</t>
    <rPh sb="0" eb="2">
      <t>ザイリョウ</t>
    </rPh>
    <rPh sb="2" eb="3">
      <t>ヒ</t>
    </rPh>
    <phoneticPr fontId="1"/>
  </si>
  <si>
    <t>生産用の固定資産に対する固定資産税、自動車税等</t>
    <rPh sb="0" eb="3">
      <t>セイサンヨウ</t>
    </rPh>
    <rPh sb="4" eb="8">
      <t>コテイシサン</t>
    </rPh>
    <rPh sb="9" eb="10">
      <t>タイ</t>
    </rPh>
    <rPh sb="12" eb="14">
      <t>コテイ</t>
    </rPh>
    <rPh sb="14" eb="17">
      <t>シサンゼイ</t>
    </rPh>
    <rPh sb="18" eb="22">
      <t>ジドウシャゼイ</t>
    </rPh>
    <rPh sb="22" eb="23">
      <t>ナド</t>
    </rPh>
    <phoneticPr fontId="1"/>
  </si>
  <si>
    <t>水稲等の共済掛金、農用建物の火災保険料等</t>
    <rPh sb="0" eb="2">
      <t>スイトウ</t>
    </rPh>
    <rPh sb="2" eb="3">
      <t>ナド</t>
    </rPh>
    <rPh sb="4" eb="6">
      <t>キョウサイ</t>
    </rPh>
    <rPh sb="6" eb="7">
      <t>カ</t>
    </rPh>
    <rPh sb="7" eb="8">
      <t>キン</t>
    </rPh>
    <rPh sb="9" eb="10">
      <t>ノウ</t>
    </rPh>
    <rPh sb="10" eb="13">
      <t>ヨウタテモノ</t>
    </rPh>
    <rPh sb="14" eb="16">
      <t>カサイ</t>
    </rPh>
    <rPh sb="16" eb="19">
      <t>ホケンリョウ</t>
    </rPh>
    <rPh sb="19" eb="20">
      <t>ナド</t>
    </rPh>
    <phoneticPr fontId="1"/>
  </si>
  <si>
    <t>作業委託費</t>
    <rPh sb="0" eb="2">
      <t>サギョウ</t>
    </rPh>
    <rPh sb="2" eb="5">
      <t>イタクヒ</t>
    </rPh>
    <phoneticPr fontId="1"/>
  </si>
  <si>
    <t>揚排水施設の維持管理費等</t>
    <rPh sb="0" eb="1">
      <t>ヨウ</t>
    </rPh>
    <rPh sb="1" eb="3">
      <t>ハイスイ</t>
    </rPh>
    <rPh sb="3" eb="5">
      <t>シセツ</t>
    </rPh>
    <rPh sb="6" eb="8">
      <t>イジ</t>
    </rPh>
    <rPh sb="8" eb="11">
      <t>カンリヒ</t>
    </rPh>
    <rPh sb="11" eb="12">
      <t>ナド</t>
    </rPh>
    <phoneticPr fontId="1"/>
  </si>
  <si>
    <t>農用建物や機械等の減価償却費</t>
    <rPh sb="0" eb="4">
      <t>ノウヨウタテモノ</t>
    </rPh>
    <rPh sb="5" eb="7">
      <t>キカイ</t>
    </rPh>
    <rPh sb="7" eb="8">
      <t>ナド</t>
    </rPh>
    <rPh sb="9" eb="11">
      <t>ゲンカ</t>
    </rPh>
    <rPh sb="11" eb="14">
      <t>ショウキャクヒ</t>
    </rPh>
    <phoneticPr fontId="1"/>
  </si>
  <si>
    <t>農作業の委託費</t>
    <rPh sb="0" eb="3">
      <t>ノウサギョウ</t>
    </rPh>
    <rPh sb="4" eb="7">
      <t>イタクヒ</t>
    </rPh>
    <phoneticPr fontId="1"/>
  </si>
  <si>
    <t>段ボール代、市場販売手数料、運賃、検査料等</t>
    <rPh sb="0" eb="1">
      <t>ダン</t>
    </rPh>
    <rPh sb="4" eb="5">
      <t>ダイ</t>
    </rPh>
    <rPh sb="6" eb="8">
      <t>イチバ</t>
    </rPh>
    <rPh sb="8" eb="10">
      <t>ハンバイ</t>
    </rPh>
    <rPh sb="10" eb="13">
      <t>テスウリョウ</t>
    </rPh>
    <rPh sb="14" eb="16">
      <t>ウンチン</t>
    </rPh>
    <rPh sb="17" eb="20">
      <t>ケンサリョウ</t>
    </rPh>
    <rPh sb="20" eb="21">
      <t>ナド</t>
    </rPh>
    <phoneticPr fontId="1"/>
  </si>
  <si>
    <t>支払地代、リース代等</t>
    <rPh sb="0" eb="2">
      <t>シハラ</t>
    </rPh>
    <rPh sb="2" eb="4">
      <t>チダイ</t>
    </rPh>
    <rPh sb="9" eb="10">
      <t>ナド</t>
    </rPh>
    <phoneticPr fontId="1"/>
  </si>
  <si>
    <t>区　分</t>
    <rPh sb="0" eb="1">
      <t>ク</t>
    </rPh>
    <rPh sb="2" eb="3">
      <t>ブン</t>
    </rPh>
    <phoneticPr fontId="1"/>
  </si>
  <si>
    <t>【収支の部】</t>
    <rPh sb="1" eb="3">
      <t>シュウシ</t>
    </rPh>
    <rPh sb="4" eb="5">
      <t>ブ</t>
    </rPh>
    <phoneticPr fontId="1"/>
  </si>
  <si>
    <t>生産規模（a）</t>
    <rPh sb="0" eb="2">
      <t>セイサン</t>
    </rPh>
    <rPh sb="2" eb="4">
      <t>キボ</t>
    </rPh>
    <phoneticPr fontId="1"/>
  </si>
  <si>
    <t>生産量（kg）</t>
    <rPh sb="0" eb="3">
      <t>セイサンリョウ</t>
    </rPh>
    <phoneticPr fontId="1"/>
  </si>
  <si>
    <t>販売額（円）</t>
    <rPh sb="0" eb="3">
      <t>ハンバイガク</t>
    </rPh>
    <rPh sb="4" eb="5">
      <t>エン</t>
    </rPh>
    <phoneticPr fontId="1"/>
  </si>
  <si>
    <t>付加価値額の拡大計画</t>
    <rPh sb="0" eb="2">
      <t>フカ</t>
    </rPh>
    <rPh sb="2" eb="5">
      <t>カチガク</t>
    </rPh>
    <rPh sb="6" eb="8">
      <t>カクダイ</t>
    </rPh>
    <rPh sb="8" eb="10">
      <t>ケイカク</t>
    </rPh>
    <phoneticPr fontId="1"/>
  </si>
  <si>
    <t>（A）</t>
    <phoneticPr fontId="1"/>
  </si>
  <si>
    <t>（B）</t>
    <phoneticPr fontId="1"/>
  </si>
  <si>
    <t>（C）</t>
    <phoneticPr fontId="1"/>
  </si>
  <si>
    <t>（D）</t>
    <phoneticPr fontId="1"/>
  </si>
  <si>
    <t>（D)/（A）</t>
  </si>
  <si>
    <t>（％）</t>
    <phoneticPr fontId="1"/>
  </si>
  <si>
    <t>増減率</t>
    <rPh sb="0" eb="2">
      <t>ゾウゲン</t>
    </rPh>
    <rPh sb="2" eb="3">
      <t>リツ</t>
    </rPh>
    <phoneticPr fontId="1"/>
  </si>
  <si>
    <t>備　考
（増減理由を記入）</t>
    <rPh sb="0" eb="1">
      <t>ソナエ</t>
    </rPh>
    <rPh sb="2" eb="3">
      <t>コウ</t>
    </rPh>
    <rPh sb="5" eb="7">
      <t>ゾウゲン</t>
    </rPh>
    <rPh sb="7" eb="9">
      <t>リユウ</t>
    </rPh>
    <rPh sb="10" eb="12">
      <t>キニュウ</t>
    </rPh>
    <phoneticPr fontId="1"/>
  </si>
  <si>
    <t>自脱型コンバイン　刈幅1.65mm　１台</t>
    <rPh sb="9" eb="10">
      <t>カ</t>
    </rPh>
    <rPh sb="10" eb="11">
      <t>ハバ</t>
    </rPh>
    <rPh sb="19" eb="20">
      <t>ダイ</t>
    </rPh>
    <phoneticPr fontId="1"/>
  </si>
  <si>
    <t>対象作物名</t>
    <rPh sb="0" eb="2">
      <t>タイショウ</t>
    </rPh>
    <rPh sb="2" eb="4">
      <t>サクモツ</t>
    </rPh>
    <rPh sb="4" eb="5">
      <t>メイ</t>
    </rPh>
    <phoneticPr fontId="1"/>
  </si>
  <si>
    <t>※対象作物が複数ある場合は欄を追加する</t>
    <rPh sb="1" eb="3">
      <t>タイショウ</t>
    </rPh>
    <rPh sb="3" eb="5">
      <t>サクモツ</t>
    </rPh>
    <rPh sb="6" eb="8">
      <t>フクスウ</t>
    </rPh>
    <rPh sb="10" eb="12">
      <t>バアイ</t>
    </rPh>
    <rPh sb="13" eb="14">
      <t>ラン</t>
    </rPh>
    <rPh sb="15" eb="17">
      <t>ツイカ</t>
    </rPh>
    <phoneticPr fontId="1"/>
  </si>
  <si>
    <t>※機械等の導入により経営改善効果のある作物を記入</t>
    <rPh sb="1" eb="3">
      <t>キカイ</t>
    </rPh>
    <rPh sb="3" eb="4">
      <t>ナド</t>
    </rPh>
    <rPh sb="5" eb="7">
      <t>ドウニュウ</t>
    </rPh>
    <rPh sb="10" eb="12">
      <t>ケイエイ</t>
    </rPh>
    <rPh sb="12" eb="14">
      <t>カイゼン</t>
    </rPh>
    <rPh sb="14" eb="16">
      <t>コウカ</t>
    </rPh>
    <rPh sb="19" eb="21">
      <t>サクモツ</t>
    </rPh>
    <rPh sb="22" eb="24">
      <t>キニュウ</t>
    </rPh>
    <phoneticPr fontId="1"/>
  </si>
  <si>
    <t>うち水稲</t>
    <rPh sb="2" eb="4">
      <t>スイトウ</t>
    </rPh>
    <phoneticPr fontId="1"/>
  </si>
  <si>
    <t>固定費</t>
    <rPh sb="0" eb="3">
      <t>コテイヒ</t>
    </rPh>
    <phoneticPr fontId="1"/>
  </si>
  <si>
    <t>①収入金額</t>
    <rPh sb="1" eb="3">
      <t>シュウニュウ</t>
    </rPh>
    <rPh sb="3" eb="5">
      <t>キンガク</t>
    </rPh>
    <phoneticPr fontId="1"/>
  </si>
  <si>
    <t>②経費</t>
    <rPh sb="1" eb="3">
      <t>ケイヒ</t>
    </rPh>
    <phoneticPr fontId="1"/>
  </si>
  <si>
    <t>雇人費（③）</t>
    <rPh sb="0" eb="1">
      <t>ヤト</t>
    </rPh>
    <rPh sb="1" eb="2">
      <t>ヒト</t>
    </rPh>
    <rPh sb="2" eb="3">
      <t>ヒ</t>
    </rPh>
    <phoneticPr fontId="1"/>
  </si>
  <si>
    <t>①－②＋③</t>
    <phoneticPr fontId="1"/>
  </si>
  <si>
    <t>水稲面積拡大に伴う肥料代の増加</t>
    <rPh sb="0" eb="2">
      <t>スイトウ</t>
    </rPh>
    <rPh sb="2" eb="4">
      <t>メンセキ</t>
    </rPh>
    <rPh sb="4" eb="6">
      <t>カクダイ</t>
    </rPh>
    <rPh sb="7" eb="8">
      <t>トモナ</t>
    </rPh>
    <rPh sb="9" eb="11">
      <t>ヒリョウ</t>
    </rPh>
    <rPh sb="11" eb="12">
      <t>ダイ</t>
    </rPh>
    <rPh sb="13" eb="15">
      <t>ゾウカ</t>
    </rPh>
    <phoneticPr fontId="1"/>
  </si>
  <si>
    <t>水稲面積拡大に伴う農薬代の増加</t>
    <rPh sb="0" eb="2">
      <t>スイトウ</t>
    </rPh>
    <rPh sb="2" eb="4">
      <t>メンセキ</t>
    </rPh>
    <rPh sb="4" eb="6">
      <t>カクダイ</t>
    </rPh>
    <rPh sb="7" eb="8">
      <t>トモナ</t>
    </rPh>
    <rPh sb="9" eb="11">
      <t>ノウヤク</t>
    </rPh>
    <rPh sb="11" eb="12">
      <t>ダイ</t>
    </rPh>
    <rPh sb="13" eb="15">
      <t>ゾウカ</t>
    </rPh>
    <phoneticPr fontId="1"/>
  </si>
  <si>
    <t>水稲面積拡大に伴う諸材料費の増加</t>
    <rPh sb="0" eb="2">
      <t>スイトウ</t>
    </rPh>
    <rPh sb="2" eb="4">
      <t>メンセキ</t>
    </rPh>
    <rPh sb="4" eb="6">
      <t>カクダイ</t>
    </rPh>
    <rPh sb="7" eb="8">
      <t>トモナ</t>
    </rPh>
    <rPh sb="9" eb="10">
      <t>ショ</t>
    </rPh>
    <rPh sb="10" eb="13">
      <t>ザイリョウヒ</t>
    </rPh>
    <rPh sb="14" eb="16">
      <t>ゾウカ</t>
    </rPh>
    <phoneticPr fontId="1"/>
  </si>
  <si>
    <t>変動費</t>
    <rPh sb="0" eb="2">
      <t>ヘンドウ</t>
    </rPh>
    <rPh sb="2" eb="3">
      <t>ヒ</t>
    </rPh>
    <phoneticPr fontId="1"/>
  </si>
  <si>
    <t>水稲面積拡大に伴う借入地代の増加</t>
    <rPh sb="0" eb="2">
      <t>スイトウ</t>
    </rPh>
    <rPh sb="2" eb="4">
      <t>メンセキ</t>
    </rPh>
    <rPh sb="4" eb="6">
      <t>カクダイ</t>
    </rPh>
    <rPh sb="7" eb="8">
      <t>トモナ</t>
    </rPh>
    <rPh sb="9" eb="11">
      <t>カリイレ</t>
    </rPh>
    <rPh sb="11" eb="13">
      <t>チダイ</t>
    </rPh>
    <rPh sb="14" eb="16">
      <t>ゾウカ</t>
    </rPh>
    <phoneticPr fontId="1"/>
  </si>
  <si>
    <t>米出荷経費：90円/60kg×66,000kg＝99,000円
だいこん出荷箱代：15円/10kg箱×4,648箱＝69,720円
だいこん販売手数料：売上3,346,560円×15％＝501,984円</t>
    <rPh sb="0" eb="1">
      <t>コメ</t>
    </rPh>
    <rPh sb="1" eb="3">
      <t>シュッカ</t>
    </rPh>
    <rPh sb="3" eb="5">
      <t>ケイヒ</t>
    </rPh>
    <rPh sb="8" eb="9">
      <t>エン</t>
    </rPh>
    <rPh sb="30" eb="31">
      <t>エン</t>
    </rPh>
    <rPh sb="36" eb="38">
      <t>シュッカ</t>
    </rPh>
    <rPh sb="38" eb="39">
      <t>ハコ</t>
    </rPh>
    <rPh sb="39" eb="40">
      <t>ダイ</t>
    </rPh>
    <rPh sb="43" eb="44">
      <t>エン</t>
    </rPh>
    <rPh sb="49" eb="50">
      <t>ハコ</t>
    </rPh>
    <rPh sb="56" eb="57">
      <t>ハコ</t>
    </rPh>
    <rPh sb="64" eb="65">
      <t>エン</t>
    </rPh>
    <rPh sb="70" eb="72">
      <t>ハンバイ</t>
    </rPh>
    <rPh sb="72" eb="75">
      <t>テスウリョウ</t>
    </rPh>
    <rPh sb="76" eb="78">
      <t>ウリアゲ</t>
    </rPh>
    <rPh sb="87" eb="88">
      <t>エン</t>
    </rPh>
    <rPh sb="100" eb="101">
      <t>エン</t>
    </rPh>
    <phoneticPr fontId="1"/>
  </si>
  <si>
    <t>水稲出荷量増加に伴う水稲出荷経費の増加</t>
    <rPh sb="0" eb="2">
      <t>スイトウ</t>
    </rPh>
    <rPh sb="2" eb="5">
      <t>シュッカリョウ</t>
    </rPh>
    <rPh sb="5" eb="7">
      <t>ゾウカ</t>
    </rPh>
    <rPh sb="8" eb="9">
      <t>トモナ</t>
    </rPh>
    <rPh sb="10" eb="12">
      <t>スイトウ</t>
    </rPh>
    <rPh sb="12" eb="14">
      <t>シュッカ</t>
    </rPh>
    <rPh sb="14" eb="16">
      <t>ケイヒ</t>
    </rPh>
    <rPh sb="17" eb="19">
      <t>ゾウカ</t>
    </rPh>
    <phoneticPr fontId="1"/>
  </si>
  <si>
    <t>水稲共済掛金：引受数量1,590a×基準単収430kg×補償割合0.7×基準単価×掛率×組合員負担1/2＝184,736円
建物厚生共済のうち必要経費額：352,358円</t>
    <rPh sb="0" eb="2">
      <t>スイトウ</t>
    </rPh>
    <rPh sb="2" eb="4">
      <t>キョウサイ</t>
    </rPh>
    <rPh sb="4" eb="5">
      <t>カ</t>
    </rPh>
    <rPh sb="5" eb="6">
      <t>キン</t>
    </rPh>
    <rPh sb="7" eb="9">
      <t>ヒキウケ</t>
    </rPh>
    <rPh sb="9" eb="11">
      <t>スウリョウ</t>
    </rPh>
    <rPh sb="18" eb="20">
      <t>キジュン</t>
    </rPh>
    <rPh sb="20" eb="22">
      <t>タンシュウ</t>
    </rPh>
    <rPh sb="28" eb="30">
      <t>ホショウ</t>
    </rPh>
    <rPh sb="30" eb="32">
      <t>ワリアイ</t>
    </rPh>
    <rPh sb="36" eb="38">
      <t>キジュン</t>
    </rPh>
    <rPh sb="38" eb="40">
      <t>タンカ</t>
    </rPh>
    <rPh sb="41" eb="42">
      <t>カ</t>
    </rPh>
    <rPh sb="42" eb="43">
      <t>リツ</t>
    </rPh>
    <rPh sb="44" eb="47">
      <t>クミアイイン</t>
    </rPh>
    <rPh sb="47" eb="49">
      <t>フタン</t>
    </rPh>
    <rPh sb="60" eb="61">
      <t>エン</t>
    </rPh>
    <rPh sb="62" eb="64">
      <t>タテモノ</t>
    </rPh>
    <rPh sb="64" eb="66">
      <t>コウセイ</t>
    </rPh>
    <rPh sb="66" eb="68">
      <t>キョウサイ</t>
    </rPh>
    <rPh sb="71" eb="73">
      <t>ヒツヨウ</t>
    </rPh>
    <rPh sb="73" eb="75">
      <t>ケイヒ</t>
    </rPh>
    <rPh sb="75" eb="76">
      <t>ガク</t>
    </rPh>
    <rPh sb="84" eb="85">
      <t>エン</t>
    </rPh>
    <phoneticPr fontId="1"/>
  </si>
  <si>
    <t>④農業所得</t>
    <rPh sb="1" eb="3">
      <t>ノウギョウ</t>
    </rPh>
    <rPh sb="3" eb="5">
      <t>ショトク</t>
    </rPh>
    <phoneticPr fontId="1"/>
  </si>
  <si>
    <t>①－②</t>
    <phoneticPr fontId="1"/>
  </si>
  <si>
    <t>⑤付加価値額</t>
    <rPh sb="1" eb="3">
      <t>フカ</t>
    </rPh>
    <rPh sb="3" eb="6">
      <t>カチガク</t>
    </rPh>
    <phoneticPr fontId="1"/>
  </si>
  <si>
    <t>ガソリン代、軽油代、水道代、電気代等</t>
    <rPh sb="4" eb="5">
      <t>ダイ</t>
    </rPh>
    <rPh sb="6" eb="8">
      <t>ケイユ</t>
    </rPh>
    <rPh sb="8" eb="9">
      <t>ダイ</t>
    </rPh>
    <rPh sb="10" eb="13">
      <t>スイドウダイ</t>
    </rPh>
    <rPh sb="14" eb="17">
      <t>デンキダイ</t>
    </rPh>
    <phoneticPr fontId="1"/>
  </si>
  <si>
    <t>軽油・ｶﾞｿﾘﾝ代：6,765円/10a×(1,590+80)a＝1,120,102円
水道代・電気代：4,800円/月×12ヶ月＝57,600円</t>
    <rPh sb="0" eb="2">
      <t>ケイユ</t>
    </rPh>
    <rPh sb="8" eb="9">
      <t>ダイ</t>
    </rPh>
    <rPh sb="44" eb="47">
      <t>スイドウダイ</t>
    </rPh>
    <rPh sb="59" eb="60">
      <t>ツキ</t>
    </rPh>
    <rPh sb="64" eb="65">
      <t>ゲツ</t>
    </rPh>
    <rPh sb="72" eb="73">
      <t>エン</t>
    </rPh>
    <phoneticPr fontId="1"/>
  </si>
  <si>
    <t>水稲面積拡大に伴うコンバイン作業員の増加（5日×900円×8h）</t>
    <rPh sb="0" eb="2">
      <t>スイトウ</t>
    </rPh>
    <rPh sb="2" eb="4">
      <t>メンセキ</t>
    </rPh>
    <rPh sb="4" eb="6">
      <t>カクダイ</t>
    </rPh>
    <rPh sb="7" eb="8">
      <t>トモナ</t>
    </rPh>
    <rPh sb="14" eb="17">
      <t>サギョウイン</t>
    </rPh>
    <rPh sb="18" eb="20">
      <t>ゾウカ</t>
    </rPh>
    <rPh sb="22" eb="23">
      <t>ニチ</t>
    </rPh>
    <rPh sb="27" eb="28">
      <t>エン</t>
    </rPh>
    <phoneticPr fontId="1"/>
  </si>
  <si>
    <t>土地賃借料：13,500円/10a×1,490a＝2,011,500円
育苗施設リース料：50,000円</t>
    <rPh sb="34" eb="35">
      <t>エン</t>
    </rPh>
    <rPh sb="36" eb="38">
      <t>イクビョウ</t>
    </rPh>
    <rPh sb="38" eb="40">
      <t>シセツ</t>
    </rPh>
    <rPh sb="43" eb="44">
      <t>リョウ</t>
    </rPh>
    <rPh sb="51" eb="52">
      <t>エン</t>
    </rPh>
    <phoneticPr fontId="1"/>
  </si>
  <si>
    <t>コンバイン導入に伴う水稲収穫受託作業の廃止</t>
    <rPh sb="8" eb="9">
      <t>トモナ</t>
    </rPh>
    <rPh sb="10" eb="12">
      <t>スイトウ</t>
    </rPh>
    <rPh sb="12" eb="14">
      <t>シュウカク</t>
    </rPh>
    <rPh sb="14" eb="16">
      <t>ジュタク</t>
    </rPh>
    <rPh sb="16" eb="18">
      <t>サギョウ</t>
    </rPh>
    <rPh sb="19" eb="21">
      <t>ハイシ</t>
    </rPh>
    <phoneticPr fontId="1"/>
  </si>
  <si>
    <t>コンバイン導入に伴うコンバイン償却費（1,137千円）の増加</t>
    <rPh sb="5" eb="7">
      <t>ドウニュウ</t>
    </rPh>
    <rPh sb="8" eb="9">
      <t>トモナ</t>
    </rPh>
    <rPh sb="15" eb="18">
      <t>ショウキャクヒ</t>
    </rPh>
    <rPh sb="24" eb="26">
      <t>センエン</t>
    </rPh>
    <rPh sb="28" eb="30">
      <t>ゾウカ</t>
    </rPh>
    <phoneticPr fontId="1"/>
  </si>
  <si>
    <t>水稲刈取委託代：15,000円/10a×180a＝270,000円</t>
    <rPh sb="0" eb="2">
      <t>スイトウ</t>
    </rPh>
    <rPh sb="2" eb="3">
      <t>カ</t>
    </rPh>
    <rPh sb="3" eb="4">
      <t>ト</t>
    </rPh>
    <rPh sb="4" eb="6">
      <t>イタク</t>
    </rPh>
    <rPh sb="6" eb="7">
      <t>ダイ</t>
    </rPh>
    <phoneticPr fontId="1"/>
  </si>
  <si>
    <t>水稲面積拡大に伴う燃料代の増加</t>
    <rPh sb="0" eb="2">
      <t>スイトウ</t>
    </rPh>
    <rPh sb="2" eb="4">
      <t>メンセキ</t>
    </rPh>
    <rPh sb="4" eb="6">
      <t>カクダイ</t>
    </rPh>
    <rPh sb="7" eb="8">
      <t>トモナ</t>
    </rPh>
    <rPh sb="9" eb="12">
      <t>ネンリョウダイ</t>
    </rPh>
    <rPh sb="13" eb="15">
      <t>ゾウカ</t>
    </rPh>
    <phoneticPr fontId="1"/>
  </si>
  <si>
    <t>水稲面積拡大に伴う水稲共済掛金の増加</t>
    <rPh sb="0" eb="2">
      <t>スイトウ</t>
    </rPh>
    <rPh sb="2" eb="4">
      <t>メンセキ</t>
    </rPh>
    <rPh sb="4" eb="6">
      <t>カクダイ</t>
    </rPh>
    <rPh sb="7" eb="8">
      <t>トモナ</t>
    </rPh>
    <rPh sb="9" eb="11">
      <t>スイトウ</t>
    </rPh>
    <rPh sb="11" eb="13">
      <t>キョウサイ</t>
    </rPh>
    <rPh sb="13" eb="14">
      <t>カ</t>
    </rPh>
    <rPh sb="14" eb="15">
      <t>キン</t>
    </rPh>
    <rPh sb="16" eb="18">
      <t>ゾウカ</t>
    </rPh>
    <phoneticPr fontId="1"/>
  </si>
  <si>
    <t>年間収支計画</t>
    <rPh sb="0" eb="2">
      <t>ネンカン</t>
    </rPh>
    <phoneticPr fontId="1"/>
  </si>
  <si>
    <t>役員報酬</t>
    <rPh sb="0" eb="2">
      <t>ヤクイン</t>
    </rPh>
    <rPh sb="2" eb="4">
      <t>ホウシュウ</t>
    </rPh>
    <phoneticPr fontId="1"/>
  </si>
  <si>
    <t>役員に対する給料</t>
    <rPh sb="0" eb="2">
      <t>ヤクイン</t>
    </rPh>
    <rPh sb="3" eb="4">
      <t>タイ</t>
    </rPh>
    <rPh sb="6" eb="8">
      <t>キュウリョウ</t>
    </rPh>
    <phoneticPr fontId="1"/>
  </si>
  <si>
    <t>従業員の給料、賞与、福利厚生費等</t>
    <rPh sb="0" eb="3">
      <t>ジュウギョウイン</t>
    </rPh>
    <rPh sb="4" eb="6">
      <t>キュウリョウ</t>
    </rPh>
    <rPh sb="7" eb="9">
      <t>ショウヨ</t>
    </rPh>
    <rPh sb="10" eb="12">
      <t>フクリ</t>
    </rPh>
    <rPh sb="12" eb="15">
      <t>コウセイヒ</t>
    </rPh>
    <rPh sb="15" eb="16">
      <t>ナド</t>
    </rPh>
    <phoneticPr fontId="1"/>
  </si>
  <si>
    <t>雑収入</t>
    <rPh sb="0" eb="3">
      <t>ザツシュウニュウ</t>
    </rPh>
    <phoneticPr fontId="1"/>
  </si>
  <si>
    <t>販売金額
（売上高）</t>
    <rPh sb="0" eb="2">
      <t>ハンバイ</t>
    </rPh>
    <rPh sb="2" eb="4">
      <t>キンガク</t>
    </rPh>
    <rPh sb="6" eb="9">
      <t>ウリアゲダカ</t>
    </rPh>
    <phoneticPr fontId="1"/>
  </si>
  <si>
    <t>【農産物加工品製造・販売の部】</t>
    <rPh sb="1" eb="4">
      <t>ノウサンブツ</t>
    </rPh>
    <rPh sb="4" eb="7">
      <t>カコウヒン</t>
    </rPh>
    <rPh sb="7" eb="9">
      <t>セイゾウ</t>
    </rPh>
    <rPh sb="10" eb="12">
      <t>ハンバイ</t>
    </rPh>
    <rPh sb="13" eb="14">
      <t>ブ</t>
    </rPh>
    <phoneticPr fontId="1"/>
  </si>
  <si>
    <t>農産物販売収入
農産物加工品販売収入</t>
    <phoneticPr fontId="1"/>
  </si>
  <si>
    <t>家事・消費金額</t>
    <rPh sb="0" eb="2">
      <t>カジ</t>
    </rPh>
    <rPh sb="3" eb="5">
      <t>ショウヒ</t>
    </rPh>
    <rPh sb="5" eb="7">
      <t>キンガク</t>
    </rPh>
    <phoneticPr fontId="1"/>
  </si>
  <si>
    <t>作業用衣料費</t>
    <rPh sb="0" eb="3">
      <t>サギョウヨウ</t>
    </rPh>
    <rPh sb="3" eb="5">
      <t>イリョウ</t>
    </rPh>
    <rPh sb="5" eb="6">
      <t>ヒ</t>
    </rPh>
    <phoneticPr fontId="1"/>
  </si>
  <si>
    <t>作業用衣料代</t>
    <rPh sb="0" eb="3">
      <t>サギョウヨウ</t>
    </rPh>
    <rPh sb="3" eb="5">
      <t>イリョウ</t>
    </rPh>
    <rPh sb="5" eb="6">
      <t>ダイ</t>
    </rPh>
    <phoneticPr fontId="1"/>
  </si>
  <si>
    <t>鎌・草刈機等代：694,693円
トラクター等修理代：1,022,688円</t>
    <rPh sb="5" eb="6">
      <t>ナド</t>
    </rPh>
    <rPh sb="22" eb="23">
      <t>ナド</t>
    </rPh>
    <rPh sb="23" eb="26">
      <t>シュウリダイ</t>
    </rPh>
    <rPh sb="36" eb="37">
      <t>エン</t>
    </rPh>
    <phoneticPr fontId="1"/>
  </si>
  <si>
    <t>農具修繕費</t>
    <rPh sb="0" eb="2">
      <t>ノウグ</t>
    </rPh>
    <rPh sb="2" eb="4">
      <t>シュウゼン</t>
    </rPh>
    <phoneticPr fontId="1"/>
  </si>
  <si>
    <t>作業服、長靴、軍手等代：41,960円</t>
    <rPh sb="0" eb="3">
      <t>サギョウフク</t>
    </rPh>
    <rPh sb="4" eb="6">
      <t>ナガグツ</t>
    </rPh>
    <rPh sb="7" eb="9">
      <t>グンテ</t>
    </rPh>
    <rPh sb="9" eb="10">
      <t>ナド</t>
    </rPh>
    <rPh sb="10" eb="11">
      <t>ダイ</t>
    </rPh>
    <rPh sb="18" eb="19">
      <t>エン</t>
    </rPh>
    <phoneticPr fontId="1"/>
  </si>
  <si>
    <t>その他経費</t>
  </si>
  <si>
    <t>その他経費</t>
    <rPh sb="3" eb="5">
      <t>ケイヒ</t>
    </rPh>
    <phoneticPr fontId="1"/>
  </si>
  <si>
    <t>支出（経費）計（②）</t>
    <rPh sb="3" eb="5">
      <t>ケイヒ</t>
    </rPh>
    <phoneticPr fontId="1"/>
  </si>
  <si>
    <t>収支（所得）計（①－②）</t>
    <rPh sb="0" eb="2">
      <t>シュウシ</t>
    </rPh>
    <rPh sb="3" eb="5">
      <t>ショトク</t>
    </rPh>
    <rPh sb="6" eb="7">
      <t>ケイ</t>
    </rPh>
    <phoneticPr fontId="1"/>
  </si>
  <si>
    <t>自家生産農産物の家事・事業消費評価額</t>
    <rPh sb="0" eb="2">
      <t>ジカ</t>
    </rPh>
    <rPh sb="2" eb="4">
      <t>セイサン</t>
    </rPh>
    <rPh sb="4" eb="7">
      <t>ノウサンブツ</t>
    </rPh>
    <rPh sb="8" eb="10">
      <t>カジ</t>
    </rPh>
    <rPh sb="11" eb="13">
      <t>ジギョウ</t>
    </rPh>
    <rPh sb="13" eb="15">
      <t>ショウヒ</t>
    </rPh>
    <rPh sb="15" eb="18">
      <t>ヒョウカガク</t>
    </rPh>
    <phoneticPr fontId="1"/>
  </si>
  <si>
    <t>期末棚卸高－期首棚卸高</t>
    <rPh sb="0" eb="2">
      <t>キマツ</t>
    </rPh>
    <rPh sb="2" eb="4">
      <t>タナオロ</t>
    </rPh>
    <rPh sb="4" eb="5">
      <t>ダカ</t>
    </rPh>
    <rPh sb="6" eb="8">
      <t>キシュ</t>
    </rPh>
    <rPh sb="8" eb="9">
      <t>タナ</t>
    </rPh>
    <rPh sb="9" eb="10">
      <t>オロシ</t>
    </rPh>
    <rPh sb="10" eb="11">
      <t>タカ</t>
    </rPh>
    <phoneticPr fontId="1"/>
  </si>
  <si>
    <t>固定費</t>
  </si>
  <si>
    <t>土地改良区賦課金：4,450円/10a×1,490a＝663,050円</t>
    <rPh sb="0" eb="2">
      <t>トチ</t>
    </rPh>
    <rPh sb="2" eb="4">
      <t>カイリョウ</t>
    </rPh>
    <rPh sb="4" eb="5">
      <t>ク</t>
    </rPh>
    <rPh sb="5" eb="8">
      <t>フカキン</t>
    </rPh>
    <rPh sb="14" eb="15">
      <t>エン</t>
    </rPh>
    <rPh sb="34" eb="35">
      <t>エン</t>
    </rPh>
    <phoneticPr fontId="1"/>
  </si>
  <si>
    <t>水稲面積拡大に伴う土地改良区賦課金の増加</t>
    <rPh sb="0" eb="2">
      <t>スイトウ</t>
    </rPh>
    <rPh sb="2" eb="4">
      <t>メンセキ</t>
    </rPh>
    <rPh sb="4" eb="6">
      <t>カクダイ</t>
    </rPh>
    <rPh sb="7" eb="8">
      <t>トモナ</t>
    </rPh>
    <rPh sb="9" eb="11">
      <t>トチ</t>
    </rPh>
    <rPh sb="11" eb="13">
      <t>カイリョウ</t>
    </rPh>
    <rPh sb="13" eb="14">
      <t>ク</t>
    </rPh>
    <rPh sb="14" eb="17">
      <t>フカキン</t>
    </rPh>
    <rPh sb="18" eb="20">
      <t>ゾウカ</t>
    </rPh>
    <phoneticPr fontId="1"/>
  </si>
  <si>
    <t>農産物以外の棚卸残高</t>
    <rPh sb="0" eb="3">
      <t>ノウサンブツ</t>
    </rPh>
    <rPh sb="3" eb="5">
      <t>イガイ</t>
    </rPh>
    <rPh sb="6" eb="8">
      <t>タナオロ</t>
    </rPh>
    <rPh sb="8" eb="9">
      <t>ザン</t>
    </rPh>
    <rPh sb="9" eb="10">
      <t>ダカ</t>
    </rPh>
    <phoneticPr fontId="1"/>
  </si>
  <si>
    <t>農産物の棚卸残高</t>
    <rPh sb="0" eb="3">
      <t>ノウサンブツ</t>
    </rPh>
    <rPh sb="4" eb="6">
      <t>タナオロ</t>
    </rPh>
    <rPh sb="6" eb="7">
      <t>ザン</t>
    </rPh>
    <rPh sb="7" eb="8">
      <t>ダカ</t>
    </rPh>
    <phoneticPr fontId="1"/>
  </si>
  <si>
    <t>農産物以外の棚卸残高</t>
    <rPh sb="0" eb="3">
      <t>ノウサンブツ</t>
    </rPh>
    <rPh sb="3" eb="5">
      <t>イガイ</t>
    </rPh>
    <rPh sb="6" eb="8">
      <t>タナオロ</t>
    </rPh>
    <rPh sb="8" eb="9">
      <t>ザン</t>
    </rPh>
    <rPh sb="9" eb="10">
      <t>ダカ</t>
    </rPh>
    <phoneticPr fontId="1"/>
  </si>
  <si>
    <t>水稲面積拡大に伴う種子代の増加</t>
    <rPh sb="0" eb="2">
      <t>スイトウ</t>
    </rPh>
    <rPh sb="2" eb="4">
      <t>メンセキ</t>
    </rPh>
    <rPh sb="4" eb="6">
      <t>カクダイ</t>
    </rPh>
    <rPh sb="7" eb="8">
      <t>トモナ</t>
    </rPh>
    <rPh sb="9" eb="11">
      <t>シュシ</t>
    </rPh>
    <rPh sb="11" eb="12">
      <t>ダイ</t>
    </rPh>
    <rPh sb="13" eb="15">
      <t>ゾウカ</t>
    </rPh>
    <phoneticPr fontId="1"/>
  </si>
  <si>
    <t>備考</t>
    <rPh sb="0" eb="1">
      <t>ソナエ</t>
    </rPh>
    <rPh sb="1" eb="2">
      <t>コウ</t>
    </rPh>
    <phoneticPr fontId="1"/>
  </si>
  <si>
    <t>①×②=③</t>
    <phoneticPr fontId="1"/>
  </si>
  <si>
    <t>現状維持</t>
    <rPh sb="0" eb="2">
      <t>ゲンジョウ</t>
    </rPh>
    <rPh sb="2" eb="4">
      <t>イジ</t>
    </rPh>
    <phoneticPr fontId="1"/>
  </si>
  <si>
    <t>※１　現状値は青色申告決算書から記入</t>
    <rPh sb="3" eb="5">
      <t>ゲンジョウ</t>
    </rPh>
    <rPh sb="5" eb="6">
      <t>チ</t>
    </rPh>
    <rPh sb="7" eb="9">
      <t>アオイロ</t>
    </rPh>
    <rPh sb="9" eb="11">
      <t>シンコク</t>
    </rPh>
    <rPh sb="11" eb="14">
      <t>ケッサンショ</t>
    </rPh>
    <rPh sb="16" eb="18">
      <t>キニュウ</t>
    </rPh>
    <phoneticPr fontId="1"/>
  </si>
  <si>
    <t>※２　現状値における対象作物の経費（種苗費、肥料費、農薬費、諸材料費、雇人費）は帳簿や伝票から算出</t>
    <rPh sb="3" eb="5">
      <t>ゲンジョウ</t>
    </rPh>
    <rPh sb="5" eb="6">
      <t>チ</t>
    </rPh>
    <rPh sb="10" eb="12">
      <t>タイショウ</t>
    </rPh>
    <rPh sb="12" eb="14">
      <t>サクモツ</t>
    </rPh>
    <rPh sb="15" eb="17">
      <t>ケイヒ</t>
    </rPh>
    <rPh sb="18" eb="20">
      <t>シュビョウ</t>
    </rPh>
    <rPh sb="20" eb="21">
      <t>ヒ</t>
    </rPh>
    <rPh sb="22" eb="25">
      <t>ヒリョウヒ</t>
    </rPh>
    <rPh sb="26" eb="28">
      <t>ノウヤク</t>
    </rPh>
    <rPh sb="28" eb="29">
      <t>ヒ</t>
    </rPh>
    <rPh sb="30" eb="31">
      <t>ショ</t>
    </rPh>
    <rPh sb="31" eb="34">
      <t>ザイリョウヒ</t>
    </rPh>
    <rPh sb="35" eb="36">
      <t>ヤトイ</t>
    </rPh>
    <rPh sb="36" eb="37">
      <t>ジン</t>
    </rPh>
    <rPh sb="37" eb="38">
      <t>ヒ</t>
    </rPh>
    <rPh sb="40" eb="42">
      <t>チョウボ</t>
    </rPh>
    <rPh sb="43" eb="45">
      <t>デンピョウ</t>
    </rPh>
    <rPh sb="47" eb="49">
      <t>サンシュツ</t>
    </rPh>
    <phoneticPr fontId="1"/>
  </si>
  <si>
    <t>作物名</t>
    <rPh sb="0" eb="2">
      <t>サクモツ</t>
    </rPh>
    <rPh sb="2" eb="3">
      <t>メイ</t>
    </rPh>
    <phoneticPr fontId="1"/>
  </si>
  <si>
    <t>※３　就業者数は専従者給与対象者を含む。常時従事者でない者は、従事日数で人数換算（240日・人/名）</t>
    <rPh sb="3" eb="6">
      <t>シュウギョウシャ</t>
    </rPh>
    <rPh sb="6" eb="7">
      <t>スウ</t>
    </rPh>
    <rPh sb="28" eb="29">
      <t>モノ</t>
    </rPh>
    <rPh sb="44" eb="45">
      <t>ニチ</t>
    </rPh>
    <rPh sb="46" eb="47">
      <t>ヒト</t>
    </rPh>
    <rPh sb="48" eb="49">
      <t>メイ</t>
    </rPh>
    <phoneticPr fontId="1"/>
  </si>
  <si>
    <t>※個人経営体の場合は集計対象外</t>
    <rPh sb="1" eb="3">
      <t>コジン</t>
    </rPh>
    <rPh sb="3" eb="6">
      <t>ケイエイタイ</t>
    </rPh>
    <rPh sb="7" eb="9">
      <t>バアイ</t>
    </rPh>
    <rPh sb="10" eb="12">
      <t>シュウケイ</t>
    </rPh>
    <rPh sb="12" eb="15">
      <t>タイショウガイ</t>
    </rPh>
    <phoneticPr fontId="1"/>
  </si>
  <si>
    <t>助成金・交付金収入、共済受取金、作業受託収入等</t>
    <rPh sb="0" eb="3">
      <t>ジョセイキン</t>
    </rPh>
    <rPh sb="4" eb="7">
      <t>コウフキン</t>
    </rPh>
    <rPh sb="7" eb="9">
      <t>シュウニュウ</t>
    </rPh>
    <rPh sb="10" eb="12">
      <t>キョウサイ</t>
    </rPh>
    <rPh sb="12" eb="15">
      <t>ウケトリキン</t>
    </rPh>
    <rPh sb="16" eb="18">
      <t>サギョウ</t>
    </rPh>
    <rPh sb="18" eb="20">
      <t>ジュタク</t>
    </rPh>
    <rPh sb="20" eb="22">
      <t>シュウニュウ</t>
    </rPh>
    <rPh sb="22" eb="23">
      <t>ナド</t>
    </rPh>
    <phoneticPr fontId="1"/>
  </si>
  <si>
    <t>設定の考え方</t>
    <rPh sb="0" eb="2">
      <t>セッテイ</t>
    </rPh>
    <rPh sb="3" eb="4">
      <t>カンガ</t>
    </rPh>
    <rPh sb="5" eb="6">
      <t>カタ</t>
    </rPh>
    <phoneticPr fontId="1"/>
  </si>
  <si>
    <t>整備内容</t>
    <rPh sb="0" eb="2">
      <t>セイビ</t>
    </rPh>
    <rPh sb="2" eb="4">
      <t>ナイヨウ</t>
    </rPh>
    <phoneticPr fontId="1"/>
  </si>
  <si>
    <t>機械導入による作業効率向上により水稲の規模拡大を行い、目標達成を図る。</t>
    <rPh sb="0" eb="2">
      <t>キカイ</t>
    </rPh>
    <rPh sb="2" eb="4">
      <t>ドウニュウ</t>
    </rPh>
    <rPh sb="7" eb="9">
      <t>サギョウ</t>
    </rPh>
    <rPh sb="9" eb="11">
      <t>コウリツ</t>
    </rPh>
    <rPh sb="11" eb="13">
      <t>コウジョウ</t>
    </rPh>
    <rPh sb="16" eb="18">
      <t>スイトウ</t>
    </rPh>
    <rPh sb="19" eb="21">
      <t>キボ</t>
    </rPh>
    <rPh sb="21" eb="23">
      <t>カクダイ</t>
    </rPh>
    <rPh sb="24" eb="25">
      <t>オコナ</t>
    </rPh>
    <rPh sb="27" eb="29">
      <t>モクヒョウ</t>
    </rPh>
    <rPh sb="29" eb="31">
      <t>タッセイ</t>
    </rPh>
    <rPh sb="32" eb="33">
      <t>ハカ</t>
    </rPh>
    <phoneticPr fontId="1"/>
  </si>
  <si>
    <t>面積：人・農地プラン計画年（4年）より
単収：経営所得安定対策地域内基準単収より
単価：JA元年予想価格より</t>
    <rPh sb="0" eb="2">
      <t>メンセキ</t>
    </rPh>
    <rPh sb="3" eb="4">
      <t>ヒト</t>
    </rPh>
    <rPh sb="5" eb="7">
      <t>ノウチ</t>
    </rPh>
    <rPh sb="10" eb="12">
      <t>ケイカク</t>
    </rPh>
    <rPh sb="12" eb="13">
      <t>ネン</t>
    </rPh>
    <rPh sb="15" eb="16">
      <t>ネン</t>
    </rPh>
    <rPh sb="20" eb="22">
      <t>タンシュウ</t>
    </rPh>
    <rPh sb="23" eb="25">
      <t>ケイエイ</t>
    </rPh>
    <rPh sb="25" eb="27">
      <t>ショトク</t>
    </rPh>
    <rPh sb="27" eb="29">
      <t>アンテイ</t>
    </rPh>
    <rPh sb="29" eb="31">
      <t>タイサク</t>
    </rPh>
    <rPh sb="41" eb="43">
      <t>タンカ</t>
    </rPh>
    <rPh sb="46" eb="47">
      <t>モト</t>
    </rPh>
    <rPh sb="47" eb="48">
      <t>ネン</t>
    </rPh>
    <rPh sb="48" eb="50">
      <t>ヨソウ</t>
    </rPh>
    <rPh sb="50" eb="52">
      <t>カカク</t>
    </rPh>
    <phoneticPr fontId="1"/>
  </si>
  <si>
    <t>その他売上（だいこん）</t>
    <rPh sb="2" eb="3">
      <t>タ</t>
    </rPh>
    <rPh sb="3" eb="5">
      <t>ウリアゲ</t>
    </rPh>
    <phoneticPr fontId="1"/>
  </si>
  <si>
    <t>助成金・交付金収入・その他収入（円）</t>
    <rPh sb="0" eb="3">
      <t>ジョセイキン</t>
    </rPh>
    <rPh sb="4" eb="7">
      <t>コウフキン</t>
    </rPh>
    <rPh sb="7" eb="9">
      <t>シュウニュウ</t>
    </rPh>
    <rPh sb="12" eb="13">
      <t>タ</t>
    </rPh>
    <rPh sb="13" eb="15">
      <t>シュウニュウ</t>
    </rPh>
    <rPh sb="16" eb="17">
      <t>エン</t>
    </rPh>
    <phoneticPr fontId="1"/>
  </si>
  <si>
    <t>棚卸残高（円）</t>
    <rPh sb="0" eb="2">
      <t>タナオロシ</t>
    </rPh>
    <rPh sb="2" eb="4">
      <t>ザンダカ</t>
    </rPh>
    <rPh sb="5" eb="6">
      <t>エン</t>
    </rPh>
    <phoneticPr fontId="1"/>
  </si>
  <si>
    <t>棚卸額は現状維持</t>
    <rPh sb="0" eb="2">
      <t>タナオロ</t>
    </rPh>
    <rPh sb="2" eb="3">
      <t>ガク</t>
    </rPh>
    <rPh sb="4" eb="6">
      <t>ゲンジョウ</t>
    </rPh>
    <rPh sb="6" eb="8">
      <t>イジ</t>
    </rPh>
    <phoneticPr fontId="1"/>
  </si>
  <si>
    <t>販売計画より
一部飼料用米</t>
    <rPh sb="0" eb="2">
      <t>ハンバイ</t>
    </rPh>
    <rPh sb="2" eb="4">
      <t>ケイカク</t>
    </rPh>
    <rPh sb="7" eb="9">
      <t>イチブ</t>
    </rPh>
    <rPh sb="9" eb="12">
      <t>シリョウヨウ</t>
    </rPh>
    <rPh sb="12" eb="13">
      <t>コメ</t>
    </rPh>
    <phoneticPr fontId="1"/>
  </si>
  <si>
    <t>現状維持</t>
    <rPh sb="0" eb="2">
      <t>ゲンジョウ</t>
    </rPh>
    <rPh sb="2" eb="4">
      <t>イジ</t>
    </rPh>
    <phoneticPr fontId="1"/>
  </si>
  <si>
    <t>被服費</t>
    <rPh sb="0" eb="2">
      <t>ヒフク</t>
    </rPh>
    <rPh sb="2" eb="3">
      <t>ヒ</t>
    </rPh>
    <phoneticPr fontId="1"/>
  </si>
  <si>
    <t>コンバイン導入、面積購入に伴う増加</t>
    <rPh sb="8" eb="10">
      <t>メンセキ</t>
    </rPh>
    <rPh sb="10" eb="12">
      <t>コウニュウ</t>
    </rPh>
    <rPh sb="13" eb="14">
      <t>トモナ</t>
    </rPh>
    <phoneticPr fontId="1"/>
  </si>
  <si>
    <t>令和2年青色申告決算書（減価償却費の計算）より</t>
    <rPh sb="0" eb="2">
      <t>レイワ</t>
    </rPh>
    <rPh sb="3" eb="4">
      <t>トシ</t>
    </rPh>
    <rPh sb="4" eb="6">
      <t>アオイロ</t>
    </rPh>
    <rPh sb="6" eb="8">
      <t>シンコク</t>
    </rPh>
    <rPh sb="8" eb="11">
      <t>ケッサンショ</t>
    </rPh>
    <rPh sb="12" eb="14">
      <t>ゲンカ</t>
    </rPh>
    <rPh sb="14" eb="17">
      <t>ショウキャクヒ</t>
    </rPh>
    <rPh sb="18" eb="20">
      <t>ケイサン</t>
    </rPh>
    <phoneticPr fontId="1"/>
  </si>
  <si>
    <t>（参考資料１）</t>
    <rPh sb="1" eb="3">
      <t>サンコウ</t>
    </rPh>
    <rPh sb="3" eb="5">
      <t>シリョウ</t>
    </rPh>
    <phoneticPr fontId="1"/>
  </si>
  <si>
    <t>（R6年）</t>
    <rPh sb="3" eb="4">
      <t>ネン</t>
    </rPh>
    <phoneticPr fontId="1"/>
  </si>
  <si>
    <t>R7年度</t>
    <rPh sb="2" eb="4">
      <t>ネンド</t>
    </rPh>
    <phoneticPr fontId="1"/>
  </si>
  <si>
    <t>R8年度</t>
    <rPh sb="2" eb="4">
      <t>ネンド</t>
    </rPh>
    <phoneticPr fontId="1"/>
  </si>
  <si>
    <t>（R7年）</t>
    <rPh sb="3" eb="4">
      <t>ネン</t>
    </rPh>
    <phoneticPr fontId="1"/>
  </si>
  <si>
    <t>（R8年）</t>
    <rPh sb="3" eb="4">
      <t>ネン</t>
    </rPh>
    <phoneticPr fontId="1"/>
  </si>
  <si>
    <t>R9年度</t>
    <rPh sb="2" eb="4">
      <t>ネンド</t>
    </rPh>
    <phoneticPr fontId="1"/>
  </si>
  <si>
    <t>現状（R6年度）</t>
    <rPh sb="0" eb="2">
      <t>ゲンジョウ</t>
    </rPh>
    <phoneticPr fontId="1"/>
  </si>
  <si>
    <t>１年度目（R7年度）</t>
    <rPh sb="1" eb="2">
      <t>ネン</t>
    </rPh>
    <rPh sb="2" eb="4">
      <t>ドメ</t>
    </rPh>
    <phoneticPr fontId="1"/>
  </si>
  <si>
    <t>２年度目（R8年度）</t>
    <rPh sb="1" eb="2">
      <t>ネン</t>
    </rPh>
    <rPh sb="2" eb="4">
      <t>ドメ</t>
    </rPh>
    <phoneticPr fontId="1"/>
  </si>
  <si>
    <t>目標年度（R9年度）</t>
    <rPh sb="0" eb="2">
      <t>モクヒョウ</t>
    </rPh>
    <rPh sb="2" eb="4">
      <t>ネンド</t>
    </rPh>
    <phoneticPr fontId="1"/>
  </si>
  <si>
    <t>（R9年）</t>
    <rPh sb="3" eb="4">
      <t>ネン</t>
    </rPh>
    <phoneticPr fontId="1"/>
  </si>
  <si>
    <t>雇人費</t>
    <rPh sb="0" eb="1">
      <t>ヤトイ</t>
    </rPh>
    <rPh sb="1" eb="2">
      <t>ニン</t>
    </rPh>
    <rPh sb="2" eb="3">
      <t>ヒ</t>
    </rPh>
    <phoneticPr fontId="1"/>
  </si>
  <si>
    <t>申告書項目</t>
    <rPh sb="0" eb="2">
      <t>シンコク</t>
    </rPh>
    <rPh sb="2" eb="3">
      <t>ショ</t>
    </rPh>
    <rPh sb="3" eb="5">
      <t>コウモク</t>
    </rPh>
    <phoneticPr fontId="1"/>
  </si>
  <si>
    <t>販売金額</t>
    <rPh sb="0" eb="2">
      <t>ハンバイ</t>
    </rPh>
    <rPh sb="2" eb="4">
      <t>キンガク</t>
    </rPh>
    <phoneticPr fontId="1"/>
  </si>
  <si>
    <t>諸材料費</t>
    <phoneticPr fontId="1"/>
  </si>
  <si>
    <t>素畜費</t>
    <phoneticPr fontId="1"/>
  </si>
  <si>
    <t>飼料費</t>
    <phoneticPr fontId="1"/>
  </si>
  <si>
    <t>租税公課</t>
    <rPh sb="0" eb="2">
      <t>ソゼイ</t>
    </rPh>
    <rPh sb="2" eb="4">
      <t>コウカ</t>
    </rPh>
    <phoneticPr fontId="1"/>
  </si>
  <si>
    <t>種苗費</t>
    <rPh sb="0" eb="2">
      <t>シュビョウ</t>
    </rPh>
    <rPh sb="2" eb="3">
      <t>ヒ</t>
    </rPh>
    <phoneticPr fontId="1"/>
  </si>
  <si>
    <t>肥料費</t>
    <phoneticPr fontId="1"/>
  </si>
  <si>
    <t>農薬衛生費</t>
    <rPh sb="2" eb="4">
      <t>エイセイ</t>
    </rPh>
    <rPh sb="4" eb="5">
      <t>ヒ</t>
    </rPh>
    <phoneticPr fontId="1"/>
  </si>
  <si>
    <t>農具費</t>
    <phoneticPr fontId="1"/>
  </si>
  <si>
    <t>農具費</t>
    <phoneticPr fontId="1"/>
  </si>
  <si>
    <t>農具修繕費</t>
    <phoneticPr fontId="1"/>
  </si>
  <si>
    <t>動力光熱費</t>
    <phoneticPr fontId="1"/>
  </si>
  <si>
    <t>修繕費</t>
    <phoneticPr fontId="1"/>
  </si>
  <si>
    <t>上記以外経費</t>
    <rPh sb="0" eb="2">
      <t>ジョウキ</t>
    </rPh>
    <rPh sb="2" eb="4">
      <t>イガイ</t>
    </rPh>
    <rPh sb="4" eb="6">
      <t>ケイヒ</t>
    </rPh>
    <phoneticPr fontId="1"/>
  </si>
  <si>
    <t>賦課金</t>
    <rPh sb="0" eb="3">
      <t>フカキン</t>
    </rPh>
    <phoneticPr fontId="1"/>
  </si>
  <si>
    <t>例</t>
    <rPh sb="0" eb="1">
      <t>レイ</t>
    </rPh>
    <phoneticPr fontId="1"/>
  </si>
  <si>
    <t>農業共済掛金</t>
    <rPh sb="0" eb="2">
      <t>ノウギョウ</t>
    </rPh>
    <rPh sb="2" eb="4">
      <t>キョウサイ</t>
    </rPh>
    <rPh sb="4" eb="5">
      <t>カ</t>
    </rPh>
    <rPh sb="5" eb="6">
      <t>キン</t>
    </rPh>
    <phoneticPr fontId="1"/>
  </si>
  <si>
    <t>農業共済掛金</t>
    <phoneticPr fontId="1"/>
  </si>
  <si>
    <t>減価償却費</t>
    <phoneticPr fontId="1"/>
  </si>
  <si>
    <t>作業用衣料費</t>
    <phoneticPr fontId="1"/>
  </si>
  <si>
    <t>荷造運搬手数料</t>
    <phoneticPr fontId="1"/>
  </si>
  <si>
    <t>地代・賃借料</t>
    <phoneticPr fontId="1"/>
  </si>
  <si>
    <t>土地改良費</t>
    <phoneticPr fontId="1"/>
  </si>
  <si>
    <t>作業委託費</t>
    <phoneticPr fontId="1"/>
  </si>
  <si>
    <t>対象作物①
○○</t>
    <rPh sb="0" eb="2">
      <t>タイショウ</t>
    </rPh>
    <rPh sb="2" eb="4">
      <t>サクモツ</t>
    </rPh>
    <phoneticPr fontId="1"/>
  </si>
  <si>
    <t>対象作物②
○○</t>
    <phoneticPr fontId="1"/>
  </si>
  <si>
    <t>その他売上（作物名　○○）</t>
    <rPh sb="2" eb="3">
      <t>タ</t>
    </rPh>
    <rPh sb="3" eb="5">
      <t>ウリアゲ</t>
    </rPh>
    <rPh sb="6" eb="8">
      <t>サクモツ</t>
    </rPh>
    <rPh sb="8" eb="9">
      <t>メイ</t>
    </rPh>
    <phoneticPr fontId="1"/>
  </si>
  <si>
    <t>うち対象作物</t>
    <rPh sb="2" eb="4">
      <t>タイショウ</t>
    </rPh>
    <rPh sb="4" eb="6">
      <t>サクモツ</t>
    </rPh>
    <phoneticPr fontId="1"/>
  </si>
  <si>
    <t>水稲以外作物の販売額</t>
    <phoneticPr fontId="1"/>
  </si>
  <si>
    <t>種苗費</t>
    <phoneticPr fontId="1"/>
  </si>
  <si>
    <t>付加価値額の拡大額算定</t>
    <rPh sb="0" eb="5">
      <t>フカカチガク</t>
    </rPh>
    <rPh sb="6" eb="8">
      <t>カクダイ</t>
    </rPh>
    <rPh sb="8" eb="9">
      <t>ガク</t>
    </rPh>
    <rPh sb="9" eb="11">
      <t>サンテイ</t>
    </rPh>
    <phoneticPr fontId="1"/>
  </si>
  <si>
    <t>ここに入力↓　収支計画で作成した金額を入力</t>
    <rPh sb="3" eb="5">
      <t>ニュウリョク</t>
    </rPh>
    <rPh sb="7" eb="9">
      <t>シュウシ</t>
    </rPh>
    <rPh sb="9" eb="11">
      <t>ケイカク</t>
    </rPh>
    <rPh sb="12" eb="14">
      <t>サクセイ</t>
    </rPh>
    <rPh sb="16" eb="18">
      <t>キンガク</t>
    </rPh>
    <rPh sb="19" eb="21">
      <t>ニュウリョク</t>
    </rPh>
    <phoneticPr fontId="1"/>
  </si>
  <si>
    <t>収入</t>
    <rPh sb="0" eb="2">
      <t>シュウニュウ</t>
    </rPh>
    <phoneticPr fontId="1"/>
  </si>
  <si>
    <t>費用</t>
    <rPh sb="0" eb="2">
      <t>ヒヨウ</t>
    </rPh>
    <phoneticPr fontId="1"/>
  </si>
  <si>
    <t>人件費</t>
    <rPh sb="0" eb="3">
      <t>ジンケンヒ</t>
    </rPh>
    <phoneticPr fontId="1"/>
  </si>
  <si>
    <t>（円）</t>
    <rPh sb="1" eb="2">
      <t>エン</t>
    </rPh>
    <phoneticPr fontId="1"/>
  </si>
  <si>
    <t>付加価値額</t>
    <rPh sb="0" eb="5">
      <t>フカカチガク</t>
    </rPh>
    <phoneticPr fontId="1"/>
  </si>
  <si>
    <t>a</t>
    <phoneticPr fontId="1"/>
  </si>
  <si>
    <t>b</t>
    <phoneticPr fontId="1"/>
  </si>
  <si>
    <t>c</t>
    <phoneticPr fontId="1"/>
  </si>
  <si>
    <t>a-b+c</t>
    <phoneticPr fontId="1"/>
  </si>
  <si>
    <t>→</t>
    <phoneticPr fontId="1"/>
  </si>
  <si>
    <t>現状年（R９年）</t>
    <rPh sb="0" eb="2">
      <t>ゲンジョウ</t>
    </rPh>
    <rPh sb="2" eb="3">
      <t>ネン</t>
    </rPh>
    <rPh sb="6" eb="7">
      <t>ネン</t>
    </rPh>
    <phoneticPr fontId="1"/>
  </si>
  <si>
    <t>対象作物○○　　××円　　
その他作物○○　　××円　　</t>
    <rPh sb="16" eb="17">
      <t>タ</t>
    </rPh>
    <rPh sb="17" eb="19">
      <t>サクモツ</t>
    </rPh>
    <phoneticPr fontId="1"/>
  </si>
  <si>
    <t>作成必須ではありません（目標年だけで構いません。）</t>
    <rPh sb="0" eb="2">
      <t>サクセイ</t>
    </rPh>
    <rPh sb="2" eb="4">
      <t>ヒッス</t>
    </rPh>
    <rPh sb="12" eb="14">
      <t>モクヒョウ</t>
    </rPh>
    <rPh sb="14" eb="15">
      <t>ネン</t>
    </rPh>
    <rPh sb="18" eb="19">
      <t>カマ</t>
    </rPh>
    <phoneticPr fontId="1"/>
  </si>
  <si>
    <t>作成必須ではありません（目標年だけで構いません。）</t>
    <phoneticPr fontId="1"/>
  </si>
  <si>
    <t>補助金○○　交付金○○　保険金○○　災害補償金○○　</t>
    <rPh sb="0" eb="3">
      <t>ホジョキン</t>
    </rPh>
    <rPh sb="6" eb="9">
      <t>コウフキン</t>
    </rPh>
    <rPh sb="12" eb="14">
      <t>ホケン</t>
    </rPh>
    <rPh sb="14" eb="15">
      <t>キン</t>
    </rPh>
    <rPh sb="18" eb="20">
      <t>サイガイ</t>
    </rPh>
    <rPh sb="20" eb="22">
      <t>ホショウ</t>
    </rPh>
    <rPh sb="22" eb="23">
      <t>キン</t>
    </rPh>
    <phoneticPr fontId="1"/>
  </si>
  <si>
    <t>対象作物○○　　××円　（作付け面積○○haの増加により）
その他作物○○　　××円　　（現状維持）</t>
    <rPh sb="13" eb="15">
      <t>サクツ</t>
    </rPh>
    <rPh sb="16" eb="18">
      <t>メンセキ</t>
    </rPh>
    <rPh sb="23" eb="25">
      <t>ゾウカ</t>
    </rPh>
    <rPh sb="32" eb="33">
      <t>タ</t>
    </rPh>
    <rPh sb="33" eb="35">
      <t>サクモツ</t>
    </rPh>
    <rPh sb="45" eb="47">
      <t>ゲンジョウ</t>
    </rPh>
    <rPh sb="47" eb="49">
      <t>イジ</t>
    </rPh>
    <phoneticPr fontId="1"/>
  </si>
  <si>
    <t>補助金○○　交付金○○　保険金○○　災害補償金０円　</t>
    <rPh sb="0" eb="3">
      <t>ホジョキン</t>
    </rPh>
    <rPh sb="6" eb="9">
      <t>コウフキン</t>
    </rPh>
    <rPh sb="12" eb="14">
      <t>ホケン</t>
    </rPh>
    <rPh sb="14" eb="15">
      <t>キン</t>
    </rPh>
    <rPh sb="18" eb="20">
      <t>サイガイ</t>
    </rPh>
    <rPh sb="20" eb="22">
      <t>ホショウ</t>
    </rPh>
    <rPh sb="22" eb="23">
      <t>キン</t>
    </rPh>
    <rPh sb="24" eb="25">
      <t>エン</t>
    </rPh>
    <phoneticPr fontId="1"/>
  </si>
  <si>
    <t>付加価値額の拡大額</t>
    <rPh sb="0" eb="5">
      <t>フカカチガク</t>
    </rPh>
    <rPh sb="6" eb="8">
      <t>カクダイ</t>
    </rPh>
    <rPh sb="8" eb="9">
      <t>ガク</t>
    </rPh>
    <phoneticPr fontId="1"/>
  </si>
  <si>
    <t>ア　現状ポイント</t>
    <rPh sb="2" eb="4">
      <t>ゲンジョウ</t>
    </rPh>
    <phoneticPr fontId="1"/>
  </si>
  <si>
    <t xml:space="preserve">イ　拡大率目標ポイント
</t>
    <phoneticPr fontId="1"/>
  </si>
  <si>
    <t>ウ　増加額目標ポイント</t>
    <phoneticPr fontId="1"/>
  </si>
  <si>
    <t>経営面積の拡大</t>
    <rPh sb="0" eb="2">
      <t>ケイエイ</t>
    </rPh>
    <rPh sb="2" eb="4">
      <t>メンセキ</t>
    </rPh>
    <rPh sb="5" eb="7">
      <t>カクダイ</t>
    </rPh>
    <phoneticPr fontId="1"/>
  </si>
  <si>
    <t>現状年（R６年）</t>
    <rPh sb="0" eb="2">
      <t>ゲンジョウ</t>
    </rPh>
    <rPh sb="2" eb="3">
      <t>ネン</t>
    </rPh>
    <rPh sb="6" eb="7">
      <t>ネン</t>
    </rPh>
    <phoneticPr fontId="1"/>
  </si>
  <si>
    <t>R6経営面積（a）</t>
    <rPh sb="2" eb="4">
      <t>ケイエイ</t>
    </rPh>
    <rPh sb="4" eb="6">
      <t>メンセキ</t>
    </rPh>
    <phoneticPr fontId="1"/>
  </si>
  <si>
    <t>R9経営面積（a）</t>
    <rPh sb="2" eb="4">
      <t>ケイエイ</t>
    </rPh>
    <rPh sb="4" eb="6">
      <t>メンセキ</t>
    </rPh>
    <phoneticPr fontId="1"/>
  </si>
  <si>
    <t>数値</t>
    <rPh sb="0" eb="2">
      <t>スウチ</t>
    </rPh>
    <phoneticPr fontId="1"/>
  </si>
  <si>
    <t>ポイント</t>
    <phoneticPr fontId="1"/>
  </si>
  <si>
    <t>拡大面積（ha)</t>
    <rPh sb="0" eb="2">
      <t>カクダイ</t>
    </rPh>
    <rPh sb="2" eb="4">
      <t>メンセキ</t>
    </rPh>
    <phoneticPr fontId="1"/>
  </si>
  <si>
    <t>経営所得安定対策補助金　1,500,000円
水稲共済受取金：112,625円</t>
    <rPh sb="0" eb="2">
      <t>ケイエイ</t>
    </rPh>
    <rPh sb="2" eb="4">
      <t>ショトク</t>
    </rPh>
    <rPh sb="4" eb="6">
      <t>アンテイ</t>
    </rPh>
    <rPh sb="6" eb="8">
      <t>タイサク</t>
    </rPh>
    <rPh sb="8" eb="11">
      <t>ホジョキン</t>
    </rPh>
    <rPh sb="21" eb="22">
      <t>エン</t>
    </rPh>
    <rPh sb="23" eb="25">
      <t>スイトウ</t>
    </rPh>
    <rPh sb="25" eb="27">
      <t>キョウサイ</t>
    </rPh>
    <rPh sb="27" eb="29">
      <t>ウケトリ</t>
    </rPh>
    <rPh sb="29" eb="30">
      <t>キン</t>
    </rPh>
    <rPh sb="38" eb="39">
      <t>エン</t>
    </rPh>
    <phoneticPr fontId="1"/>
  </si>
  <si>
    <t>水稲賃金：900円×1,248時間＝1,123,200円
だいこん賃金：900円×480時間＝432,000円
福利厚生費：35,000円</t>
    <phoneticPr fontId="1"/>
  </si>
  <si>
    <t>水稲諸材料費：2,160円/10a×1,590a＝343,440円
だいこんマルチ等代：96,900円/10a×80a＝775,200円</t>
    <phoneticPr fontId="1"/>
  </si>
  <si>
    <t>水稲農薬代：7,925円/10a×1,590a＝1,260,075円
だいこん農薬代：33,100円/10a×80a＝264,800円</t>
    <phoneticPr fontId="1"/>
  </si>
  <si>
    <t>水稲肥料代：9,532円/10a×1,590a＝1,515,588円
だいこん肥料代：36,400円/10a×80a＝291,200円</t>
    <phoneticPr fontId="1"/>
  </si>
  <si>
    <t>水稲種子代：4,801円/10a×1,590a＝763,359円
だいこん種子代：22,500円/10a×80a＝180,000円</t>
    <phoneticPr fontId="1"/>
  </si>
  <si>
    <t>合計ポイント</t>
    <rPh sb="0" eb="2">
      <t>ゴウケイ</t>
    </rPh>
    <phoneticPr fontId="1"/>
  </si>
  <si>
    <r>
      <t>付加価値額＝収入-費用</t>
    </r>
    <r>
      <rPr>
        <b/>
        <sz val="11"/>
        <rFont val="ＭＳ Ｐゴシック"/>
        <family val="3"/>
        <charset val="128"/>
      </rPr>
      <t>＋人件費</t>
    </r>
    <r>
      <rPr>
        <sz val="11"/>
        <rFont val="ＭＳ Ｐゴシック"/>
        <family val="3"/>
        <charset val="128"/>
      </rPr>
      <t>　（次ページの付加価値額の算出方法の資料を参考にしてください。）</t>
    </r>
    <rPh sb="0" eb="2">
      <t>フカ</t>
    </rPh>
    <rPh sb="2" eb="4">
      <t>カチ</t>
    </rPh>
    <rPh sb="4" eb="5">
      <t>ガク</t>
    </rPh>
    <rPh sb="6" eb="8">
      <t>シュウニュウ</t>
    </rPh>
    <rPh sb="9" eb="11">
      <t>ヒヨウ</t>
    </rPh>
    <rPh sb="12" eb="15">
      <t>ジンケンヒ</t>
    </rPh>
    <rPh sb="17" eb="18">
      <t>ジ</t>
    </rPh>
    <rPh sb="22" eb="24">
      <t>フカ</t>
    </rPh>
    <rPh sb="24" eb="26">
      <t>カチ</t>
    </rPh>
    <rPh sb="26" eb="27">
      <t>ガク</t>
    </rPh>
    <rPh sb="28" eb="30">
      <t>サンシュツ</t>
    </rPh>
    <rPh sb="30" eb="32">
      <t>ホウホウ</t>
    </rPh>
    <rPh sb="33" eb="35">
      <t>シリョウ</t>
    </rPh>
    <rPh sb="36" eb="38">
      <t>サンコウ</t>
    </rPh>
    <phoneticPr fontId="1"/>
  </si>
  <si>
    <t>合計１１ポイント以上の方のみ提出できます。</t>
    <phoneticPr fontId="1"/>
  </si>
  <si>
    <t>数値を基に下のポイント基準から各項目のポイントを記載してください↓</t>
    <rPh sb="0" eb="2">
      <t>スウチ</t>
    </rPh>
    <rPh sb="3" eb="4">
      <t>モト</t>
    </rPh>
    <rPh sb="5" eb="6">
      <t>シタ</t>
    </rPh>
    <rPh sb="11" eb="13">
      <t>キジュン</t>
    </rPh>
    <rPh sb="15" eb="18">
      <t>カクコウモク</t>
    </rPh>
    <rPh sb="24" eb="26">
      <t>キサイ</t>
    </rPh>
    <phoneticPr fontId="1"/>
  </si>
  <si>
    <t>中間管理機構の活用
（有→○・無→×）</t>
    <rPh sb="0" eb="2">
      <t>チュウカン</t>
    </rPh>
    <rPh sb="2" eb="4">
      <t>カンリ</t>
    </rPh>
    <rPh sb="4" eb="6">
      <t>キコウ</t>
    </rPh>
    <rPh sb="7" eb="9">
      <t>カツヨウ</t>
    </rPh>
    <rPh sb="11" eb="12">
      <t>アリ</t>
    </rPh>
    <rPh sb="15" eb="16">
      <t>ナ</t>
    </rPh>
    <phoneticPr fontId="1"/>
  </si>
  <si>
    <t>（　　　　）の農業経営の現状と今後の販売計画</t>
    <rPh sb="7" eb="9">
      <t>ノウギョウ</t>
    </rPh>
    <rPh sb="9" eb="11">
      <t>ケイエイ</t>
    </rPh>
    <rPh sb="12" eb="14">
      <t>ゲンジョウ</t>
    </rPh>
    <rPh sb="15" eb="17">
      <t>コンゴ</t>
    </rPh>
    <rPh sb="18" eb="20">
      <t>ハンバイ</t>
    </rPh>
    <rPh sb="20" eb="22">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</si>
</sst>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0;[Red]\-#,##0.0"/>
  </numFmts>
  <fonts count="22">
    <font>
      <sz val="11"/>
      <name val="ＭＳ Ｐゴシック"/>
      <family val="3"/>
      <charset val="128"/>
    </font>
    <font>
      <sz val="6"/>
      <name val="ＭＳ Ｐゴシック"/>
      <family val="3"/>
      <charset val="128"/>
    </font>
    <font>
      <sz val="11"/>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4"/>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sz val="9"/>
      <color indexed="81"/>
      <name val="ＭＳ Ｐゴシック"/>
      <family val="3"/>
      <charset val="128"/>
    </font>
    <font>
      <sz val="11"/>
      <name val="ＭＳ 明朝"/>
      <family val="1"/>
      <charset val="128"/>
    </font>
    <font>
      <sz val="9"/>
      <name val="ＭＳ ゴシック"/>
      <family val="3"/>
      <charset val="128"/>
    </font>
    <font>
      <sz val="11"/>
      <name val="ＭＳ Ｐゴシック"/>
      <family val="3"/>
      <charset val="128"/>
      <scheme val="minor"/>
    </font>
    <font>
      <b/>
      <sz val="11"/>
      <name val="ＭＳ Ｐゴシック"/>
      <family val="3"/>
      <charset val="128"/>
    </font>
    <font>
      <u/>
      <sz val="11"/>
      <name val="ＭＳ Ｐゴシック"/>
      <family val="3"/>
      <charset val="128"/>
    </font>
    <font>
      <b/>
      <u/>
      <sz val="14"/>
      <name val="ＭＳ Ｐゴシック"/>
      <family val="3"/>
      <charset val="128"/>
    </font>
    <font>
      <sz val="14"/>
      <name val="ＭＳ Ｐゴシック"/>
      <family val="3"/>
      <charset val="128"/>
    </font>
    <font>
      <sz val="11"/>
      <color theme="8" tint="0.59999389629810485"/>
      <name val="ＭＳ Ｐゴシック"/>
      <family val="3"/>
      <charset val="128"/>
    </font>
  </fonts>
  <fills count="8">
    <fill>
      <patternFill patternType="none"/>
    </fill>
    <fill>
      <patternFill patternType="gray125"/>
    </fill>
    <fill>
      <patternFill patternType="solid">
        <fgColor rgb="FFFFE1FF"/>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dashed">
        <color indexed="64"/>
      </left>
      <right style="thin">
        <color indexed="64"/>
      </right>
      <top style="dash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hair">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ashed">
        <color indexed="64"/>
      </left>
      <right style="thin">
        <color indexed="64"/>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12" fillId="0" borderId="0"/>
    <xf numFmtId="0" fontId="2" fillId="0" borderId="0">
      <alignment vertical="center"/>
    </xf>
    <xf numFmtId="38" fontId="2" fillId="0" borderId="0" applyFont="0" applyFill="0" applyBorder="0" applyAlignment="0" applyProtection="0">
      <alignment vertical="center"/>
    </xf>
    <xf numFmtId="0" fontId="14" fillId="0" borderId="0">
      <alignment vertical="center"/>
    </xf>
    <xf numFmtId="9" fontId="2" fillId="0" borderId="0" applyFont="0" applyFill="0" applyBorder="0" applyAlignment="0" applyProtection="0">
      <alignment vertical="center"/>
    </xf>
  </cellStyleXfs>
  <cellXfs count="304">
    <xf numFmtId="0" fontId="0" fillId="0" borderId="0" xfId="0">
      <alignment vertical="center"/>
    </xf>
    <xf numFmtId="0" fontId="0" fillId="0" borderId="0" xfId="0" applyAlignment="1">
      <alignment vertical="center"/>
    </xf>
    <xf numFmtId="0" fontId="4" fillId="0" borderId="0" xfId="0" applyFont="1">
      <alignment vertical="center"/>
    </xf>
    <xf numFmtId="0" fontId="4" fillId="0" borderId="0" xfId="0" applyFont="1" applyAlignment="1">
      <alignment horizontal="left" vertical="center"/>
    </xf>
    <xf numFmtId="0" fontId="4" fillId="0" borderId="5" xfId="0" applyFont="1" applyBorder="1" applyAlignment="1">
      <alignment horizontal="center" vertical="center"/>
    </xf>
    <xf numFmtId="38" fontId="4" fillId="0" borderId="33" xfId="1" applyFont="1" applyBorder="1" applyAlignment="1">
      <alignment vertical="center" shrinkToFit="1"/>
    </xf>
    <xf numFmtId="38" fontId="4" fillId="0" borderId="34" xfId="1" applyFont="1" applyBorder="1" applyAlignment="1">
      <alignment vertical="center" shrinkToFit="1"/>
    </xf>
    <xf numFmtId="0" fontId="4" fillId="0" borderId="35" xfId="0" applyFont="1" applyBorder="1" applyAlignment="1">
      <alignment horizontal="left" vertical="center" shrinkToFit="1"/>
    </xf>
    <xf numFmtId="38" fontId="4" fillId="0" borderId="36" xfId="1" applyFont="1" applyBorder="1" applyAlignment="1">
      <alignment vertical="center" shrinkToFit="1"/>
    </xf>
    <xf numFmtId="0" fontId="4" fillId="0" borderId="37" xfId="0" applyFont="1" applyBorder="1" applyAlignment="1">
      <alignment horizontal="left"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38" fontId="4" fillId="0" borderId="35" xfId="1" applyFont="1" applyBorder="1" applyAlignment="1">
      <alignment horizontal="left" vertical="center" shrinkToFit="1"/>
    </xf>
    <xf numFmtId="38" fontId="4" fillId="0" borderId="37" xfId="1" applyFont="1" applyBorder="1" applyAlignment="1">
      <alignment horizontal="left" vertical="center" shrinkToFit="1"/>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horizontal="left" vertical="center"/>
    </xf>
    <xf numFmtId="0" fontId="7" fillId="0" borderId="0" xfId="0" applyFont="1">
      <alignment vertical="center"/>
    </xf>
    <xf numFmtId="38" fontId="4" fillId="0" borderId="5" xfId="1" applyFont="1" applyBorder="1" applyAlignment="1">
      <alignment horizontal="right" vertical="center"/>
    </xf>
    <xf numFmtId="38" fontId="4" fillId="0" borderId="5" xfId="1" applyFont="1" applyBorder="1" applyAlignment="1">
      <alignment horizontal="right" vertical="center" shrinkToFit="1"/>
    </xf>
    <xf numFmtId="38" fontId="4" fillId="0" borderId="9" xfId="1" applyFont="1" applyBorder="1" applyAlignment="1">
      <alignment horizontal="right" vertical="center"/>
    </xf>
    <xf numFmtId="38" fontId="4" fillId="0" borderId="9" xfId="1" applyFont="1" applyBorder="1" applyAlignment="1">
      <alignment horizontal="right" vertical="center" shrinkToFit="1"/>
    </xf>
    <xf numFmtId="0" fontId="4" fillId="0" borderId="2" xfId="0" applyFont="1" applyBorder="1">
      <alignment vertical="center"/>
    </xf>
    <xf numFmtId="0" fontId="4" fillId="0" borderId="43" xfId="0" applyFont="1" applyBorder="1">
      <alignment vertical="center"/>
    </xf>
    <xf numFmtId="38" fontId="4" fillId="0" borderId="43" xfId="1" applyFont="1" applyBorder="1" applyAlignment="1">
      <alignment horizontal="right" vertical="center"/>
    </xf>
    <xf numFmtId="0" fontId="4" fillId="0" borderId="43" xfId="0" applyFont="1" applyBorder="1" applyAlignment="1">
      <alignment horizontal="right" vertical="center"/>
    </xf>
    <xf numFmtId="0" fontId="7" fillId="0" borderId="44" xfId="0" applyFont="1" applyBorder="1">
      <alignment vertical="center"/>
    </xf>
    <xf numFmtId="0" fontId="4" fillId="0" borderId="44" xfId="0" applyFont="1" applyBorder="1">
      <alignment vertical="center"/>
    </xf>
    <xf numFmtId="38" fontId="4" fillId="0" borderId="44" xfId="1" applyFont="1" applyBorder="1" applyAlignment="1">
      <alignment horizontal="right" vertical="center"/>
    </xf>
    <xf numFmtId="0" fontId="4" fillId="0" borderId="44" xfId="0" applyFont="1" applyBorder="1" applyAlignment="1">
      <alignment horizontal="righ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9" fillId="0" borderId="0" xfId="0" applyFont="1" applyAlignment="1">
      <alignment horizontal="right" vertical="center"/>
    </xf>
    <xf numFmtId="0" fontId="9" fillId="0" borderId="0" xfId="0" applyFont="1">
      <alignment vertical="center"/>
    </xf>
    <xf numFmtId="0" fontId="4" fillId="0" borderId="5" xfId="0" applyFont="1" applyBorder="1" applyAlignment="1">
      <alignment horizontal="center" vertical="center"/>
    </xf>
    <xf numFmtId="0" fontId="4" fillId="0" borderId="52" xfId="0" applyFont="1" applyBorder="1" applyAlignment="1">
      <alignment horizontal="left" vertical="center" shrinkToFit="1"/>
    </xf>
    <xf numFmtId="0" fontId="0" fillId="0" borderId="0" xfId="0" applyFont="1">
      <alignment vertical="center"/>
    </xf>
    <xf numFmtId="0" fontId="3"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vertical="center"/>
    </xf>
    <xf numFmtId="0" fontId="4" fillId="0" borderId="9" xfId="0" applyFont="1" applyBorder="1" applyAlignment="1">
      <alignment vertical="center" wrapText="1"/>
    </xf>
    <xf numFmtId="38" fontId="4" fillId="0" borderId="2" xfId="1" applyFont="1" applyBorder="1" applyAlignment="1">
      <alignment horizontal="right" vertical="center"/>
    </xf>
    <xf numFmtId="0" fontId="4" fillId="0" borderId="2" xfId="0" applyFont="1" applyBorder="1" applyAlignment="1">
      <alignment vertical="center" wrapText="1"/>
    </xf>
    <xf numFmtId="38" fontId="4" fillId="0" borderId="2" xfId="1" applyFont="1" applyBorder="1" applyAlignment="1">
      <alignment horizontal="right" vertical="center" shrinkToFit="1"/>
    </xf>
    <xf numFmtId="0" fontId="4" fillId="0" borderId="49" xfId="0" applyFont="1" applyBorder="1">
      <alignment vertical="center"/>
    </xf>
    <xf numFmtId="38" fontId="4" fillId="0" borderId="49" xfId="1" applyFont="1" applyBorder="1" applyAlignment="1">
      <alignment horizontal="right" vertical="center"/>
    </xf>
    <xf numFmtId="0" fontId="4" fillId="0" borderId="49" xfId="0" applyFont="1" applyBorder="1" applyAlignment="1">
      <alignment vertical="center" wrapText="1"/>
    </xf>
    <xf numFmtId="38" fontId="4" fillId="0" borderId="49" xfId="1" applyFont="1" applyBorder="1" applyAlignment="1">
      <alignment horizontal="right" vertical="center" shrinkToFit="1"/>
    </xf>
    <xf numFmtId="0" fontId="4" fillId="0" borderId="2" xfId="0" applyFont="1" applyBorder="1" applyAlignment="1">
      <alignment horizontal="left" vertical="center" wrapText="1"/>
    </xf>
    <xf numFmtId="0" fontId="4" fillId="0" borderId="49" xfId="0" applyFont="1" applyBorder="1" applyAlignment="1">
      <alignment horizontal="left" vertical="center" wrapText="1"/>
    </xf>
    <xf numFmtId="0" fontId="0" fillId="0" borderId="0" xfId="0" applyBorder="1" applyAlignment="1">
      <alignment horizontal="center" vertical="center"/>
    </xf>
    <xf numFmtId="0" fontId="0" fillId="0" borderId="1" xfId="0" applyFont="1" applyBorder="1" applyAlignment="1">
      <alignment horizontal="center" vertical="center"/>
    </xf>
    <xf numFmtId="0" fontId="8" fillId="0" borderId="44" xfId="0" applyFont="1" applyBorder="1" applyAlignment="1">
      <alignment horizontal="left" vertical="center" wrapText="1"/>
    </xf>
    <xf numFmtId="0" fontId="8" fillId="0" borderId="4" xfId="0" applyFont="1" applyBorder="1" applyAlignment="1">
      <alignment horizontal="left" vertical="center" wrapText="1"/>
    </xf>
    <xf numFmtId="0" fontId="0" fillId="0" borderId="11" xfId="0" applyBorder="1" applyAlignment="1">
      <alignment horizontal="center" vertical="center"/>
    </xf>
    <xf numFmtId="0" fontId="0" fillId="0" borderId="59" xfId="0" applyBorder="1" applyAlignment="1">
      <alignment vertical="center" wrapText="1"/>
    </xf>
    <xf numFmtId="0" fontId="0" fillId="0" borderId="6" xfId="0" applyBorder="1" applyAlignment="1">
      <alignment vertical="center" wrapText="1"/>
    </xf>
    <xf numFmtId="0" fontId="0" fillId="0" borderId="29" xfId="0" applyBorder="1" applyAlignment="1">
      <alignment vertical="center" wrapText="1"/>
    </xf>
    <xf numFmtId="0" fontId="8" fillId="0" borderId="6" xfId="0" applyFont="1" applyBorder="1" applyAlignment="1">
      <alignment horizontal="left" vertical="center"/>
    </xf>
    <xf numFmtId="0" fontId="0" fillId="0" borderId="41" xfId="0" applyFont="1" applyBorder="1" applyAlignment="1">
      <alignment horizontal="center" vertical="center"/>
    </xf>
    <xf numFmtId="38" fontId="0" fillId="0" borderId="2" xfId="1" applyFont="1" applyFill="1" applyBorder="1" applyAlignment="1">
      <alignment horizontal="right" vertical="center" wrapText="1"/>
    </xf>
    <xf numFmtId="38" fontId="0" fillId="0" borderId="65" xfId="1" applyFont="1" applyFill="1" applyBorder="1" applyAlignment="1">
      <alignment horizontal="left" vertical="center" wrapText="1"/>
    </xf>
    <xf numFmtId="0" fontId="4" fillId="0" borderId="19" xfId="0" applyFont="1" applyFill="1" applyBorder="1" applyAlignment="1">
      <alignment horizontal="left" vertical="center"/>
    </xf>
    <xf numFmtId="0" fontId="0" fillId="0" borderId="17" xfId="0" applyFill="1" applyBorder="1" applyAlignment="1">
      <alignment horizontal="center" vertical="center"/>
    </xf>
    <xf numFmtId="0" fontId="4" fillId="0" borderId="47" xfId="0" applyFont="1" applyFill="1" applyBorder="1" applyAlignment="1">
      <alignment horizontal="left" vertical="center"/>
    </xf>
    <xf numFmtId="0" fontId="0" fillId="0" borderId="48" xfId="0" applyFill="1" applyBorder="1" applyAlignment="1">
      <alignment horizontal="center" vertical="center"/>
    </xf>
    <xf numFmtId="0" fontId="0" fillId="0" borderId="20" xfId="0" applyFill="1" applyBorder="1" applyAlignment="1">
      <alignment vertical="center"/>
    </xf>
    <xf numFmtId="0" fontId="0" fillId="0" borderId="4" xfId="0" applyFill="1" applyBorder="1" applyAlignment="1">
      <alignment horizontal="center" vertical="center"/>
    </xf>
    <xf numFmtId="0" fontId="0" fillId="0" borderId="61" xfId="0" applyFill="1" applyBorder="1" applyAlignment="1">
      <alignment vertical="center"/>
    </xf>
    <xf numFmtId="0" fontId="0" fillId="0" borderId="55" xfId="0" applyFill="1" applyBorder="1" applyAlignment="1">
      <alignment vertical="center"/>
    </xf>
    <xf numFmtId="0" fontId="0" fillId="0" borderId="18" xfId="0" applyFill="1" applyBorder="1" applyAlignment="1">
      <alignment horizontal="center" vertical="center"/>
    </xf>
    <xf numFmtId="0" fontId="0" fillId="0" borderId="12" xfId="0" applyFont="1" applyFill="1" applyBorder="1" applyAlignment="1">
      <alignmen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9" xfId="0" applyBorder="1" applyAlignment="1">
      <alignment horizontal="center" vertical="center"/>
    </xf>
    <xf numFmtId="0" fontId="0" fillId="0" borderId="53" xfId="0" applyBorder="1" applyAlignment="1">
      <alignment horizontal="center" vertical="center"/>
    </xf>
    <xf numFmtId="0" fontId="0" fillId="0" borderId="30" xfId="0" applyBorder="1" applyAlignment="1">
      <alignment horizontal="center" vertical="center"/>
    </xf>
    <xf numFmtId="0" fontId="0" fillId="0" borderId="19" xfId="0" applyFont="1" applyFill="1" applyBorder="1" applyAlignment="1">
      <alignment vertical="center"/>
    </xf>
    <xf numFmtId="0" fontId="0" fillId="0" borderId="20" xfId="0" applyFont="1" applyFill="1" applyBorder="1" applyAlignment="1">
      <alignment vertical="center"/>
    </xf>
    <xf numFmtId="0" fontId="0" fillId="0" borderId="13" xfId="0" applyFont="1" applyFill="1" applyBorder="1" applyAlignment="1">
      <alignment vertical="center" wrapText="1"/>
    </xf>
    <xf numFmtId="0" fontId="0" fillId="0" borderId="63" xfId="0" applyFont="1" applyFill="1" applyBorder="1" applyAlignment="1">
      <alignment horizontal="center" vertical="center" shrinkToFit="1"/>
    </xf>
    <xf numFmtId="0" fontId="0" fillId="0" borderId="43" xfId="0" applyFont="1" applyFill="1" applyBorder="1" applyAlignment="1">
      <alignment vertical="center" wrapText="1"/>
    </xf>
    <xf numFmtId="0" fontId="0" fillId="0" borderId="69" xfId="0" applyFont="1" applyFill="1" applyBorder="1" applyAlignment="1">
      <alignment horizontal="center" vertical="center" shrinkToFit="1"/>
    </xf>
    <xf numFmtId="0" fontId="0" fillId="0" borderId="70" xfId="0" applyFont="1" applyFill="1" applyBorder="1" applyAlignment="1">
      <alignment vertical="center"/>
    </xf>
    <xf numFmtId="0" fontId="0" fillId="0" borderId="51" xfId="0" applyFont="1" applyFill="1" applyBorder="1" applyAlignment="1">
      <alignment vertical="center" wrapText="1"/>
    </xf>
    <xf numFmtId="0" fontId="0" fillId="0" borderId="32" xfId="0" applyFont="1" applyFill="1" applyBorder="1" applyAlignment="1">
      <alignment horizontal="center" vertical="center" shrinkToFit="1"/>
    </xf>
    <xf numFmtId="0" fontId="8" fillId="0" borderId="8" xfId="0" applyFont="1" applyBorder="1" applyAlignment="1">
      <alignment horizontal="left" vertical="center"/>
    </xf>
    <xf numFmtId="0" fontId="8" fillId="0" borderId="58" xfId="0" applyFont="1" applyBorder="1" applyAlignment="1">
      <alignment horizontal="left" vertical="center" wrapText="1"/>
    </xf>
    <xf numFmtId="0" fontId="8" fillId="0" borderId="27" xfId="0" applyFont="1" applyBorder="1" applyAlignment="1">
      <alignment horizontal="left" vertical="center" wrapText="1"/>
    </xf>
    <xf numFmtId="38" fontId="0" fillId="0" borderId="21" xfId="1" applyFont="1" applyFill="1" applyBorder="1" applyAlignment="1">
      <alignment horizontal="right" vertical="center" wrapText="1"/>
    </xf>
    <xf numFmtId="38" fontId="0" fillId="0" borderId="28" xfId="1" applyFont="1" applyFill="1" applyBorder="1" applyAlignment="1">
      <alignment horizontal="left" vertical="center" wrapText="1"/>
    </xf>
    <xf numFmtId="0" fontId="0" fillId="0" borderId="6" xfId="0" applyFill="1" applyBorder="1" applyAlignment="1">
      <alignment vertical="center" wrapText="1"/>
    </xf>
    <xf numFmtId="0" fontId="0" fillId="0" borderId="29" xfId="0" applyFill="1" applyBorder="1" applyAlignment="1">
      <alignment vertical="center" wrapText="1"/>
    </xf>
    <xf numFmtId="0" fontId="0" fillId="0" borderId="54" xfId="0" applyFont="1" applyFill="1" applyBorder="1" applyAlignment="1">
      <alignment vertical="center"/>
    </xf>
    <xf numFmtId="0" fontId="0" fillId="0" borderId="55" xfId="0" applyFont="1" applyFill="1" applyBorder="1" applyAlignment="1">
      <alignment vertical="center" wrapText="1"/>
    </xf>
    <xf numFmtId="0" fontId="0" fillId="0" borderId="71" xfId="0" applyFont="1" applyFill="1" applyBorder="1" applyAlignment="1">
      <alignment horizontal="center" vertical="center" shrinkToFit="1"/>
    </xf>
    <xf numFmtId="0" fontId="8" fillId="0" borderId="23" xfId="0" applyFont="1" applyBorder="1" applyAlignment="1">
      <alignment horizontal="left" vertical="center"/>
    </xf>
    <xf numFmtId="0" fontId="8" fillId="0" borderId="57" xfId="0" applyFont="1" applyBorder="1" applyAlignment="1">
      <alignment horizontal="left" vertical="center" wrapText="1"/>
    </xf>
    <xf numFmtId="0" fontId="8" fillId="0" borderId="24" xfId="0" applyFont="1" applyBorder="1" applyAlignment="1">
      <alignment horizontal="left" vertical="center" wrapText="1"/>
    </xf>
    <xf numFmtId="38" fontId="0" fillId="0" borderId="25" xfId="1" applyFont="1" applyFill="1" applyBorder="1" applyAlignment="1">
      <alignment horizontal="right" vertical="center" wrapText="1"/>
    </xf>
    <xf numFmtId="38" fontId="0" fillId="0" borderId="68" xfId="1" applyFont="1" applyFill="1" applyBorder="1" applyAlignment="1">
      <alignment horizontal="left" vertical="center" wrapText="1"/>
    </xf>
    <xf numFmtId="38" fontId="0" fillId="0" borderId="9" xfId="1" applyFont="1" applyFill="1" applyBorder="1" applyAlignment="1">
      <alignment horizontal="right" vertical="center" wrapText="1"/>
    </xf>
    <xf numFmtId="38" fontId="0" fillId="0" borderId="49" xfId="1" applyFont="1" applyFill="1" applyBorder="1" applyAlignment="1">
      <alignment horizontal="right" vertical="center" wrapText="1"/>
    </xf>
    <xf numFmtId="38" fontId="0" fillId="0" borderId="5" xfId="1" applyFont="1" applyFill="1" applyBorder="1" applyAlignment="1">
      <alignment horizontal="right" vertical="center" wrapText="1"/>
    </xf>
    <xf numFmtId="38" fontId="0" fillId="0" borderId="3" xfId="1" applyFont="1" applyFill="1" applyBorder="1" applyAlignment="1">
      <alignment horizontal="right" vertical="center" wrapText="1"/>
    </xf>
    <xf numFmtId="3" fontId="0" fillId="2" borderId="9" xfId="0" applyNumberFormat="1" applyFill="1" applyBorder="1">
      <alignment vertical="center"/>
    </xf>
    <xf numFmtId="3" fontId="0" fillId="2" borderId="39" xfId="0" applyNumberFormat="1" applyFill="1" applyBorder="1">
      <alignment vertical="center"/>
    </xf>
    <xf numFmtId="3" fontId="0" fillId="2" borderId="39" xfId="0" applyNumberFormat="1" applyFill="1" applyBorder="1" applyAlignment="1">
      <alignment vertical="center"/>
    </xf>
    <xf numFmtId="3" fontId="0" fillId="2" borderId="5" xfId="0" applyNumberFormat="1" applyFill="1" applyBorder="1">
      <alignment vertical="center"/>
    </xf>
    <xf numFmtId="3" fontId="0" fillId="2" borderId="5" xfId="0" applyNumberFormat="1" applyFill="1" applyBorder="1" applyAlignment="1">
      <alignment vertical="center"/>
    </xf>
    <xf numFmtId="3" fontId="0" fillId="2" borderId="3" xfId="0" applyNumberFormat="1" applyFill="1" applyBorder="1">
      <alignment vertical="center"/>
    </xf>
    <xf numFmtId="3" fontId="0" fillId="2" borderId="3" xfId="0" applyNumberFormat="1" applyFill="1" applyBorder="1" applyAlignment="1">
      <alignment vertical="center"/>
    </xf>
    <xf numFmtId="3" fontId="0" fillId="0" borderId="9" xfId="0" applyNumberFormat="1" applyFill="1" applyBorder="1" applyAlignment="1">
      <alignment horizontal="right" vertical="center"/>
    </xf>
    <xf numFmtId="3" fontId="0" fillId="0" borderId="39" xfId="0" applyNumberFormat="1" applyFill="1" applyBorder="1" applyAlignment="1">
      <alignment horizontal="right" vertical="center"/>
    </xf>
    <xf numFmtId="3" fontId="0" fillId="0" borderId="5" xfId="0" applyNumberFormat="1" applyFill="1" applyBorder="1" applyAlignment="1">
      <alignment horizontal="right" vertical="center"/>
    </xf>
    <xf numFmtId="3" fontId="0" fillId="0" borderId="3" xfId="0" applyNumberFormat="1" applyFill="1" applyBorder="1" applyAlignment="1">
      <alignment horizontal="right" vertical="center"/>
    </xf>
    <xf numFmtId="3" fontId="0" fillId="2" borderId="14" xfId="0" applyNumberFormat="1" applyFill="1" applyBorder="1" applyAlignment="1">
      <alignment horizontal="left" vertical="center" wrapText="1"/>
    </xf>
    <xf numFmtId="3" fontId="0" fillId="2" borderId="15" xfId="0" applyNumberFormat="1" applyFill="1" applyBorder="1" applyAlignment="1">
      <alignment horizontal="left" vertical="center" wrapText="1"/>
    </xf>
    <xf numFmtId="0" fontId="4" fillId="0" borderId="38" xfId="0" applyFont="1" applyBorder="1" applyAlignment="1">
      <alignment vertical="center" wrapText="1"/>
    </xf>
    <xf numFmtId="38" fontId="4" fillId="0" borderId="38" xfId="1" applyFont="1" applyBorder="1" applyAlignment="1">
      <alignment horizontal="right" vertical="center"/>
    </xf>
    <xf numFmtId="0" fontId="4" fillId="0" borderId="38" xfId="0" applyFont="1" applyBorder="1" applyAlignment="1">
      <alignment horizontal="left" vertical="center" wrapText="1"/>
    </xf>
    <xf numFmtId="0" fontId="4" fillId="0" borderId="40" xfId="0" applyFont="1" applyBorder="1" applyAlignment="1">
      <alignment vertical="center" wrapText="1"/>
    </xf>
    <xf numFmtId="38" fontId="4" fillId="0" borderId="40" xfId="1" applyFont="1" applyBorder="1" applyAlignment="1">
      <alignment horizontal="right" vertical="center"/>
    </xf>
    <xf numFmtId="0" fontId="4" fillId="0" borderId="40" xfId="0" applyFont="1" applyBorder="1" applyAlignment="1">
      <alignment horizontal="left" vertical="center" wrapText="1"/>
    </xf>
    <xf numFmtId="0" fontId="5" fillId="0" borderId="0" xfId="0" applyFont="1">
      <alignment vertical="center"/>
    </xf>
    <xf numFmtId="0" fontId="4" fillId="0" borderId="5" xfId="0" applyFont="1" applyBorder="1" applyAlignment="1">
      <alignment horizontal="left" vertical="center"/>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38" fontId="0" fillId="3" borderId="5" xfId="1" applyFont="1" applyFill="1" applyBorder="1" applyAlignment="1">
      <alignment horizontal="right" vertical="center" wrapText="1"/>
    </xf>
    <xf numFmtId="38" fontId="0" fillId="3" borderId="9" xfId="1" applyFont="1" applyFill="1" applyBorder="1" applyAlignment="1">
      <alignment horizontal="right" vertical="center" wrapText="1"/>
    </xf>
    <xf numFmtId="38" fontId="0" fillId="3" borderId="49" xfId="1" applyFont="1" applyFill="1" applyBorder="1" applyAlignment="1">
      <alignment horizontal="right" vertical="center" wrapText="1"/>
    </xf>
    <xf numFmtId="38" fontId="0" fillId="3" borderId="2" xfId="1" applyFont="1" applyFill="1" applyBorder="1" applyAlignment="1">
      <alignment horizontal="right" vertical="center" wrapText="1"/>
    </xf>
    <xf numFmtId="38" fontId="0" fillId="3" borderId="3" xfId="1" applyFont="1" applyFill="1" applyBorder="1" applyAlignment="1">
      <alignment horizontal="right" vertical="center" wrapText="1"/>
    </xf>
    <xf numFmtId="0" fontId="0" fillId="3" borderId="14" xfId="0" applyFill="1" applyBorder="1" applyAlignment="1">
      <alignment horizontal="left" vertical="center" wrapText="1"/>
    </xf>
    <xf numFmtId="0" fontId="0" fillId="3" borderId="15" xfId="0" applyFill="1" applyBorder="1" applyAlignment="1">
      <alignment horizontal="left"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177" fontId="4" fillId="0" borderId="20" xfId="1" applyNumberFormat="1" applyFont="1" applyBorder="1">
      <alignment vertical="center"/>
    </xf>
    <xf numFmtId="0" fontId="4" fillId="0" borderId="4" xfId="0" applyFont="1" applyBorder="1">
      <alignment vertical="center"/>
    </xf>
    <xf numFmtId="0" fontId="4" fillId="0" borderId="13" xfId="0" applyFont="1" applyBorder="1" applyAlignment="1">
      <alignment horizontal="center" vertical="center"/>
    </xf>
    <xf numFmtId="38" fontId="4" fillId="0" borderId="45" xfId="1" applyFont="1" applyBorder="1" applyAlignment="1">
      <alignment vertical="center" shrinkToFit="1"/>
    </xf>
    <xf numFmtId="0" fontId="4" fillId="0" borderId="46" xfId="0" applyFont="1" applyBorder="1" applyAlignment="1">
      <alignment horizontal="left" vertical="center" shrinkToFit="1"/>
    </xf>
    <xf numFmtId="38" fontId="4" fillId="0" borderId="46" xfId="1" applyFont="1" applyBorder="1" applyAlignment="1">
      <alignment horizontal="left" vertical="center" shrinkToFit="1"/>
    </xf>
    <xf numFmtId="38" fontId="4" fillId="0" borderId="45" xfId="0" applyNumberFormat="1" applyFont="1" applyBorder="1" applyAlignment="1">
      <alignment vertical="center" shrinkToFit="1"/>
    </xf>
    <xf numFmtId="0" fontId="4" fillId="0" borderId="50" xfId="0" applyFont="1" applyBorder="1" applyAlignment="1">
      <alignment horizontal="left" vertical="center"/>
    </xf>
    <xf numFmtId="0" fontId="4" fillId="0" borderId="46" xfId="0" applyFont="1" applyBorder="1" applyAlignment="1">
      <alignment horizontal="left" vertical="center"/>
    </xf>
    <xf numFmtId="38" fontId="4" fillId="0" borderId="50" xfId="0" applyNumberFormat="1" applyFont="1" applyBorder="1" applyAlignment="1">
      <alignment vertical="center" shrinkToFit="1"/>
    </xf>
    <xf numFmtId="0" fontId="4" fillId="0" borderId="16" xfId="0" applyFont="1" applyBorder="1" applyAlignment="1">
      <alignment horizontal="center" vertical="center" shrinkToFi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15" fillId="0" borderId="72" xfId="0" applyFont="1" applyBorder="1" applyAlignment="1">
      <alignment horizontal="center" vertical="center" shrinkToFit="1"/>
    </xf>
    <xf numFmtId="0" fontId="15" fillId="0" borderId="73" xfId="0" applyFont="1" applyBorder="1" applyAlignment="1">
      <alignment horizontal="center" vertical="center" shrinkToFit="1"/>
    </xf>
    <xf numFmtId="0" fontId="15" fillId="0" borderId="74" xfId="0" applyFont="1" applyBorder="1" applyAlignment="1">
      <alignment horizontal="center" vertical="center" shrinkToFit="1"/>
    </xf>
    <xf numFmtId="0" fontId="15" fillId="0" borderId="75" xfId="0" applyFont="1" applyBorder="1" applyAlignment="1">
      <alignment horizontal="center" vertical="center" shrinkToFit="1"/>
    </xf>
    <xf numFmtId="0" fontId="15" fillId="0" borderId="76" xfId="0" applyFont="1" applyBorder="1" applyAlignment="1">
      <alignment horizontal="center" vertical="center" shrinkToFit="1"/>
    </xf>
    <xf numFmtId="38" fontId="2" fillId="0" borderId="68" xfId="1" applyFont="1" applyFill="1" applyBorder="1" applyAlignment="1">
      <alignment horizontal="left" vertical="center" wrapText="1"/>
    </xf>
    <xf numFmtId="0" fontId="0" fillId="0" borderId="6" xfId="0" applyBorder="1" applyAlignment="1">
      <alignment horizontal="left" vertical="center" shrinkToFit="1"/>
    </xf>
    <xf numFmtId="0" fontId="8" fillId="0" borderId="6" xfId="0" applyFont="1" applyBorder="1" applyAlignment="1">
      <alignment vertical="center" shrinkToFit="1"/>
    </xf>
    <xf numFmtId="0" fontId="0" fillId="0" borderId="25" xfId="0" applyBorder="1" applyAlignment="1">
      <alignment horizontal="left" vertical="center" shrinkToFit="1"/>
    </xf>
    <xf numFmtId="0" fontId="0" fillId="3" borderId="65" xfId="0" applyFill="1" applyBorder="1" applyAlignment="1">
      <alignment horizontal="left" vertical="center" wrapText="1"/>
    </xf>
    <xf numFmtId="0" fontId="16" fillId="0" borderId="0" xfId="0" applyFont="1">
      <alignment vertical="center"/>
    </xf>
    <xf numFmtId="3" fontId="0" fillId="2" borderId="22" xfId="0" applyNumberFormat="1" applyFont="1" applyFill="1" applyBorder="1">
      <alignment vertical="center"/>
    </xf>
    <xf numFmtId="0" fontId="4" fillId="0" borderId="16" xfId="0" applyFont="1" applyBorder="1" applyAlignment="1">
      <alignment horizontal="center" vertical="center" shrinkToFit="1"/>
    </xf>
    <xf numFmtId="0" fontId="4" fillId="0" borderId="2" xfId="0" applyFont="1" applyBorder="1" applyAlignment="1">
      <alignment horizontal="center" vertical="center"/>
    </xf>
    <xf numFmtId="0" fontId="4" fillId="0" borderId="50" xfId="0" applyFont="1" applyBorder="1" applyAlignment="1">
      <alignment horizontal="left"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0" fillId="3" borderId="65" xfId="0" applyFill="1" applyBorder="1" applyAlignment="1">
      <alignment horizontal="left" vertical="center" wrapText="1"/>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vertical="center" wrapText="1"/>
    </xf>
    <xf numFmtId="0" fontId="4" fillId="4" borderId="5" xfId="0" applyFont="1" applyFill="1" applyBorder="1" applyAlignment="1">
      <alignment horizontal="center" vertical="center"/>
    </xf>
    <xf numFmtId="38" fontId="4" fillId="4" borderId="9" xfId="1" applyFont="1" applyFill="1" applyBorder="1" applyAlignment="1">
      <alignment horizontal="right" vertical="center" shrinkToFit="1"/>
    </xf>
    <xf numFmtId="0" fontId="4" fillId="4" borderId="9" xfId="0" applyFont="1" applyFill="1" applyBorder="1" applyAlignment="1">
      <alignment horizontal="left" vertical="center" wrapText="1"/>
    </xf>
    <xf numFmtId="38" fontId="4" fillId="4" borderId="49" xfId="1" applyFont="1" applyFill="1" applyBorder="1" applyAlignment="1">
      <alignment horizontal="right" vertical="center" shrinkToFit="1"/>
    </xf>
    <xf numFmtId="0" fontId="4" fillId="4" borderId="49" xfId="0" applyFont="1" applyFill="1" applyBorder="1" applyAlignment="1">
      <alignment horizontal="left" vertical="center" wrapText="1"/>
    </xf>
    <xf numFmtId="38" fontId="4" fillId="4" borderId="2" xfId="1" applyFont="1" applyFill="1" applyBorder="1" applyAlignment="1">
      <alignment horizontal="right" vertical="center" shrinkToFit="1"/>
    </xf>
    <xf numFmtId="0" fontId="4" fillId="4" borderId="2" xfId="0" applyFont="1" applyFill="1" applyBorder="1" applyAlignment="1">
      <alignment horizontal="left" vertical="center" wrapText="1"/>
    </xf>
    <xf numFmtId="38" fontId="4" fillId="4" borderId="5" xfId="1" applyFont="1" applyFill="1" applyBorder="1" applyAlignment="1">
      <alignment horizontal="right" vertical="center" shrinkToFit="1"/>
    </xf>
    <xf numFmtId="0" fontId="4" fillId="4" borderId="5" xfId="0" applyFont="1" applyFill="1" applyBorder="1" applyAlignment="1">
      <alignment horizontal="left" vertical="center" wrapText="1"/>
    </xf>
    <xf numFmtId="0" fontId="4" fillId="4" borderId="0" xfId="0" applyFont="1" applyFill="1">
      <alignment vertical="center"/>
    </xf>
    <xf numFmtId="38" fontId="4" fillId="4" borderId="40" xfId="1" applyFont="1" applyFill="1" applyBorder="1" applyAlignment="1">
      <alignment horizontal="right" vertical="center"/>
    </xf>
    <xf numFmtId="0" fontId="4" fillId="4" borderId="40" xfId="0" applyFont="1" applyFill="1" applyBorder="1" applyAlignment="1">
      <alignment horizontal="left" vertical="center" wrapText="1"/>
    </xf>
    <xf numFmtId="38" fontId="4" fillId="4" borderId="38" xfId="1" applyFont="1" applyFill="1" applyBorder="1" applyAlignment="1">
      <alignment horizontal="right" vertical="center"/>
    </xf>
    <xf numFmtId="0" fontId="4" fillId="4" borderId="38" xfId="0" applyFont="1" applyFill="1" applyBorder="1" applyAlignment="1">
      <alignment horizontal="left" vertical="center" wrapText="1"/>
    </xf>
    <xf numFmtId="38" fontId="4" fillId="4" borderId="49" xfId="1" applyFont="1" applyFill="1" applyBorder="1" applyAlignment="1">
      <alignment horizontal="right" vertical="center"/>
    </xf>
    <xf numFmtId="38" fontId="4" fillId="4" borderId="2" xfId="1" applyFont="1" applyFill="1" applyBorder="1" applyAlignment="1">
      <alignment horizontal="right" vertical="center"/>
    </xf>
    <xf numFmtId="0" fontId="4" fillId="4" borderId="43" xfId="0" applyFont="1" applyFill="1" applyBorder="1" applyAlignment="1">
      <alignment horizontal="right" vertical="center"/>
    </xf>
    <xf numFmtId="0" fontId="4" fillId="4" borderId="43" xfId="0" applyFont="1" applyFill="1" applyBorder="1">
      <alignment vertical="center"/>
    </xf>
    <xf numFmtId="0" fontId="4" fillId="4" borderId="44" xfId="0" applyFont="1" applyFill="1" applyBorder="1" applyAlignment="1">
      <alignment horizontal="right" vertical="center"/>
    </xf>
    <xf numFmtId="0" fontId="4" fillId="4" borderId="44" xfId="0" applyFont="1" applyFill="1" applyBorder="1">
      <alignment vertical="center"/>
    </xf>
    <xf numFmtId="38" fontId="4" fillId="4" borderId="5" xfId="1" applyFont="1" applyFill="1" applyBorder="1" applyAlignment="1">
      <alignment horizontal="right" vertical="center"/>
    </xf>
    <xf numFmtId="0" fontId="4" fillId="4" borderId="5" xfId="0" applyFont="1" applyFill="1" applyBorder="1" applyAlignment="1">
      <alignment horizontal="left" vertical="center"/>
    </xf>
    <xf numFmtId="0" fontId="0" fillId="0" borderId="0" xfId="0" applyAlignment="1">
      <alignment horizontal="right" vertical="center"/>
    </xf>
    <xf numFmtId="0" fontId="0" fillId="0" borderId="0" xfId="0" applyAlignment="1">
      <alignment horizontal="left" vertical="center"/>
    </xf>
    <xf numFmtId="0" fontId="17" fillId="0" borderId="0" xfId="0" applyFont="1">
      <alignment vertical="center"/>
    </xf>
    <xf numFmtId="0" fontId="0" fillId="0" borderId="5" xfId="0" applyBorder="1">
      <alignment vertical="center"/>
    </xf>
    <xf numFmtId="0" fontId="0" fillId="0" borderId="5" xfId="0" applyBorder="1" applyAlignment="1">
      <alignment horizontal="right" vertical="center"/>
    </xf>
    <xf numFmtId="0" fontId="0" fillId="0" borderId="9" xfId="0" applyBorder="1">
      <alignment vertical="center"/>
    </xf>
    <xf numFmtId="0" fontId="0" fillId="0" borderId="67" xfId="0" applyBorder="1">
      <alignment vertical="center"/>
    </xf>
    <xf numFmtId="0" fontId="0" fillId="0" borderId="25" xfId="0" applyBorder="1">
      <alignment vertical="center"/>
    </xf>
    <xf numFmtId="0" fontId="0" fillId="0" borderId="23" xfId="0" applyBorder="1">
      <alignment vertical="center"/>
    </xf>
    <xf numFmtId="0" fontId="0" fillId="0" borderId="57" xfId="0" applyBorder="1">
      <alignment vertical="center"/>
    </xf>
    <xf numFmtId="0" fontId="0" fillId="5" borderId="77" xfId="0" applyFill="1" applyBorder="1">
      <alignment vertical="center"/>
    </xf>
    <xf numFmtId="0" fontId="18" fillId="0" borderId="0" xfId="0" applyFont="1">
      <alignment vertical="center"/>
    </xf>
    <xf numFmtId="0" fontId="17" fillId="0" borderId="0" xfId="0" applyFont="1" applyAlignment="1">
      <alignment horizontal="center" vertical="center"/>
    </xf>
    <xf numFmtId="0" fontId="18" fillId="0" borderId="0" xfId="0" applyFont="1" applyAlignment="1">
      <alignment horizontal="left" vertical="center"/>
    </xf>
    <xf numFmtId="0" fontId="0" fillId="5" borderId="5" xfId="0" applyFill="1" applyBorder="1">
      <alignment vertical="center"/>
    </xf>
    <xf numFmtId="0" fontId="0" fillId="5" borderId="9" xfId="0" applyFill="1" applyBorder="1">
      <alignment vertical="center"/>
    </xf>
    <xf numFmtId="0" fontId="0" fillId="6" borderId="68" xfId="0" applyFill="1" applyBorder="1">
      <alignment vertical="center"/>
    </xf>
    <xf numFmtId="0" fontId="0" fillId="6" borderId="9" xfId="0" applyFill="1" applyBorder="1">
      <alignment vertical="center"/>
    </xf>
    <xf numFmtId="0" fontId="0" fillId="6" borderId="2" xfId="0" applyFill="1" applyBorder="1">
      <alignment vertical="center"/>
    </xf>
    <xf numFmtId="0" fontId="0" fillId="0" borderId="44" xfId="0" applyBorder="1">
      <alignment vertical="center"/>
    </xf>
    <xf numFmtId="0" fontId="0" fillId="0" borderId="12" xfId="0" applyBorder="1">
      <alignment vertical="center"/>
    </xf>
    <xf numFmtId="0" fontId="0" fillId="0" borderId="13" xfId="0" applyBorder="1">
      <alignment vertical="center"/>
    </xf>
    <xf numFmtId="0" fontId="0" fillId="5" borderId="17" xfId="0" applyFill="1" applyBorder="1">
      <alignment vertical="center"/>
    </xf>
    <xf numFmtId="0" fontId="0" fillId="5" borderId="4" xfId="0" applyFill="1" applyBorder="1">
      <alignment vertical="center"/>
    </xf>
    <xf numFmtId="0" fontId="0" fillId="7" borderId="19" xfId="0" applyFill="1" applyBorder="1">
      <alignment vertical="center"/>
    </xf>
    <xf numFmtId="0" fontId="0" fillId="7" borderId="43" xfId="0" applyFill="1" applyBorder="1">
      <alignment vertical="center"/>
    </xf>
    <xf numFmtId="0" fontId="0" fillId="7" borderId="17" xfId="0" applyFill="1" applyBorder="1">
      <alignment vertical="center"/>
    </xf>
    <xf numFmtId="0" fontId="0" fillId="7" borderId="22" xfId="0" applyFill="1" applyBorder="1">
      <alignment vertical="center"/>
    </xf>
    <xf numFmtId="0" fontId="0" fillId="7" borderId="0" xfId="0" applyFill="1" applyBorder="1">
      <alignment vertical="center"/>
    </xf>
    <xf numFmtId="0" fontId="0" fillId="7" borderId="7" xfId="0" applyFill="1" applyBorder="1">
      <alignment vertical="center"/>
    </xf>
    <xf numFmtId="0" fontId="0" fillId="7" borderId="20" xfId="0" applyFill="1" applyBorder="1">
      <alignment vertical="center"/>
    </xf>
    <xf numFmtId="0" fontId="0" fillId="7" borderId="44" xfId="0" applyFill="1" applyBorder="1">
      <alignment vertical="center"/>
    </xf>
    <xf numFmtId="0" fontId="0" fillId="7" borderId="4" xfId="0" applyFill="1" applyBorder="1">
      <alignment vertical="center"/>
    </xf>
    <xf numFmtId="2" fontId="0" fillId="6" borderId="5" xfId="0" applyNumberFormat="1" applyFill="1" applyBorder="1">
      <alignment vertical="center"/>
    </xf>
    <xf numFmtId="0" fontId="0" fillId="5" borderId="16" xfId="0" applyFill="1" applyBorder="1">
      <alignment vertical="center"/>
    </xf>
    <xf numFmtId="0" fontId="0" fillId="0" borderId="19" xfId="0" applyBorder="1" applyAlignment="1">
      <alignment horizontal="left" vertical="center"/>
    </xf>
    <xf numFmtId="0" fontId="0" fillId="0" borderId="43"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20" xfId="0" applyBorder="1" applyAlignment="1">
      <alignment horizontal="left" vertical="center"/>
    </xf>
    <xf numFmtId="0" fontId="0" fillId="0" borderId="44" xfId="0" applyBorder="1" applyAlignment="1">
      <alignment horizontal="left" vertical="center"/>
    </xf>
    <xf numFmtId="0" fontId="0" fillId="0" borderId="9" xfId="0" applyBorder="1" applyAlignment="1">
      <alignment horizontal="left" vertical="center" wrapText="1"/>
    </xf>
    <xf numFmtId="0" fontId="19" fillId="0" borderId="0" xfId="0" applyFont="1" applyAlignment="1">
      <alignment horizontal="center" vertical="center"/>
    </xf>
    <xf numFmtId="0" fontId="3" fillId="0" borderId="0" xfId="0" applyFont="1" applyAlignment="1">
      <alignment horizontal="center" vertical="center"/>
    </xf>
    <xf numFmtId="0" fontId="4" fillId="0" borderId="20" xfId="0" applyFont="1" applyBorder="1" applyAlignment="1">
      <alignment horizontal="left" vertical="center"/>
    </xf>
    <xf numFmtId="0" fontId="4" fillId="0" borderId="44" xfId="0" applyFont="1" applyBorder="1" applyAlignment="1">
      <alignment horizontal="left" vertical="center"/>
    </xf>
    <xf numFmtId="0" fontId="6" fillId="0" borderId="9" xfId="0" applyFont="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4" fillId="0" borderId="12"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shrinkToFit="1"/>
    </xf>
    <xf numFmtId="0" fontId="4" fillId="0" borderId="9" xfId="0" applyFont="1" applyBorder="1" applyAlignment="1">
      <alignment horizontal="center" vertical="center"/>
    </xf>
    <xf numFmtId="0" fontId="4" fillId="0" borderId="45" xfId="0" applyFont="1" applyBorder="1" applyAlignment="1">
      <alignment horizontal="left" vertical="center"/>
    </xf>
    <xf numFmtId="0" fontId="4" fillId="0" borderId="50" xfId="0" applyFont="1" applyBorder="1" applyAlignment="1">
      <alignment horizontal="left"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6" xfId="0" applyFont="1" applyBorder="1" applyAlignment="1">
      <alignment horizontal="left" vertical="center"/>
    </xf>
    <xf numFmtId="0" fontId="4" fillId="4" borderId="12" xfId="0" applyFont="1" applyFill="1" applyBorder="1" applyAlignment="1">
      <alignment horizontal="center" vertical="center"/>
    </xf>
    <xf numFmtId="0" fontId="4" fillId="4" borderId="16" xfId="0" applyFont="1" applyFill="1" applyBorder="1" applyAlignment="1">
      <alignment horizontal="center" vertical="center"/>
    </xf>
    <xf numFmtId="0" fontId="0" fillId="0" borderId="12" xfId="0" applyFill="1" applyBorder="1" applyAlignment="1">
      <alignment horizontal="left" vertical="center"/>
    </xf>
    <xf numFmtId="0" fontId="0" fillId="0" borderId="13" xfId="0" applyFill="1" applyBorder="1" applyAlignment="1">
      <alignment horizontal="left" vertical="center"/>
    </xf>
    <xf numFmtId="0" fontId="0" fillId="0" borderId="16" xfId="0" applyFill="1" applyBorder="1" applyAlignment="1">
      <alignment horizontal="left" vertical="center"/>
    </xf>
    <xf numFmtId="0" fontId="0" fillId="0" borderId="12" xfId="0" applyFill="1" applyBorder="1" applyAlignment="1">
      <alignment horizontal="left" vertical="center" wrapText="1"/>
    </xf>
    <xf numFmtId="0" fontId="0" fillId="0" borderId="13" xfId="0" applyFill="1" applyBorder="1" applyAlignment="1">
      <alignment horizontal="left" vertical="center" wrapText="1"/>
    </xf>
    <xf numFmtId="0" fontId="0" fillId="0" borderId="16" xfId="0" applyFill="1" applyBorder="1" applyAlignment="1">
      <alignment horizontal="left" vertical="center" wrapText="1"/>
    </xf>
    <xf numFmtId="0" fontId="8" fillId="0" borderId="67" xfId="0" applyFont="1" applyBorder="1" applyAlignment="1">
      <alignment horizontal="left" vertical="center" shrinkToFit="1"/>
    </xf>
    <xf numFmtId="0" fontId="8" fillId="0" borderId="24" xfId="0" applyFont="1" applyBorder="1" applyAlignment="1">
      <alignment horizontal="left" vertical="center" shrinkToFit="1"/>
    </xf>
    <xf numFmtId="0" fontId="8" fillId="0" borderId="25" xfId="0" applyFont="1" applyBorder="1" applyAlignment="1">
      <alignment horizontal="left" vertical="center" shrinkToFit="1"/>
    </xf>
    <xf numFmtId="176" fontId="0" fillId="3" borderId="66" xfId="0" applyNumberFormat="1" applyFill="1" applyBorder="1" applyAlignment="1">
      <alignment horizontal="left" vertical="center" wrapText="1"/>
    </xf>
    <xf numFmtId="0" fontId="0" fillId="3" borderId="31" xfId="0" applyFill="1" applyBorder="1" applyAlignment="1">
      <alignment horizontal="left" vertical="center" wrapText="1"/>
    </xf>
    <xf numFmtId="0" fontId="0" fillId="3" borderId="65" xfId="0" applyFill="1" applyBorder="1" applyAlignment="1">
      <alignment horizontal="left" vertical="center" wrapText="1"/>
    </xf>
    <xf numFmtId="0" fontId="0" fillId="0" borderId="64" xfId="0" applyBorder="1" applyAlignment="1">
      <alignment horizontal="center" vertical="center" wrapText="1"/>
    </xf>
    <xf numFmtId="0" fontId="0" fillId="0" borderId="31" xfId="0" applyBorder="1" applyAlignment="1">
      <alignment horizontal="center" vertical="center"/>
    </xf>
    <xf numFmtId="0" fontId="0" fillId="0" borderId="42" xfId="0" applyBorder="1" applyAlignment="1">
      <alignment horizontal="center" vertical="center"/>
    </xf>
    <xf numFmtId="0" fontId="0" fillId="0" borderId="19" xfId="0" applyFill="1" applyBorder="1" applyAlignment="1">
      <alignment horizontal="left" vertical="center" wrapText="1"/>
    </xf>
    <xf numFmtId="0" fontId="0" fillId="0" borderId="17" xfId="0" applyFill="1" applyBorder="1" applyAlignment="1">
      <alignment horizontal="left" vertical="center"/>
    </xf>
    <xf numFmtId="0" fontId="0" fillId="0" borderId="22" xfId="0" applyFill="1" applyBorder="1" applyAlignment="1">
      <alignment horizontal="left" vertical="center"/>
    </xf>
    <xf numFmtId="0" fontId="0" fillId="0" borderId="7" xfId="0" applyFill="1" applyBorder="1" applyAlignment="1">
      <alignment horizontal="left" vertical="center"/>
    </xf>
    <xf numFmtId="0" fontId="0" fillId="0" borderId="20" xfId="0" applyFill="1" applyBorder="1" applyAlignment="1">
      <alignment horizontal="left" vertical="center"/>
    </xf>
    <xf numFmtId="0" fontId="0" fillId="0" borderId="4" xfId="0" applyFill="1" applyBorder="1" applyAlignment="1">
      <alignment horizontal="left" vertical="center"/>
    </xf>
    <xf numFmtId="0" fontId="8" fillId="0" borderId="60" xfId="0" applyFont="1" applyBorder="1" applyAlignment="1">
      <alignment horizontal="left" vertical="center" shrinkToFit="1"/>
    </xf>
    <xf numFmtId="0" fontId="8" fillId="0" borderId="30" xfId="0" applyFont="1" applyBorder="1" applyAlignment="1">
      <alignment horizontal="left" vertical="center" shrinkToFit="1"/>
    </xf>
    <xf numFmtId="0" fontId="8" fillId="0" borderId="61" xfId="0" applyFont="1" applyBorder="1" applyAlignment="1">
      <alignment horizontal="left" vertical="center" shrinkToFit="1"/>
    </xf>
    <xf numFmtId="0" fontId="8" fillId="0" borderId="53" xfId="0" applyFont="1" applyBorder="1" applyAlignment="1">
      <alignment horizontal="left" vertical="center" shrinkToFit="1"/>
    </xf>
    <xf numFmtId="0" fontId="8" fillId="0" borderId="62" xfId="0" applyFont="1" applyBorder="1" applyAlignment="1">
      <alignment horizontal="left" vertical="center" shrinkToFit="1"/>
    </xf>
    <xf numFmtId="0" fontId="8" fillId="0" borderId="56" xfId="0" applyFont="1" applyBorder="1" applyAlignment="1">
      <alignment horizontal="left" vertical="center" shrinkToFit="1"/>
    </xf>
    <xf numFmtId="0" fontId="8" fillId="0" borderId="57" xfId="0" applyFont="1" applyBorder="1" applyAlignment="1">
      <alignment horizontal="left" vertical="center" shrinkToFit="1"/>
    </xf>
    <xf numFmtId="0" fontId="0" fillId="0" borderId="56" xfId="0" applyBorder="1" applyAlignment="1">
      <alignment horizontal="left" vertical="center" shrinkToFit="1"/>
    </xf>
    <xf numFmtId="0" fontId="0" fillId="0" borderId="77" xfId="0" applyBorder="1" applyAlignment="1">
      <alignment horizontal="left" vertical="center" shrinkToFit="1"/>
    </xf>
    <xf numFmtId="3" fontId="0" fillId="2" borderId="66" xfId="0" applyNumberFormat="1" applyFill="1" applyBorder="1" applyAlignment="1">
      <alignment horizontal="left" vertical="center" wrapText="1"/>
    </xf>
    <xf numFmtId="0" fontId="0" fillId="2" borderId="65" xfId="0" applyFill="1" applyBorder="1" applyAlignment="1">
      <alignment horizontal="left" vertical="center" wrapText="1"/>
    </xf>
    <xf numFmtId="3" fontId="0" fillId="2" borderId="65" xfId="0" applyNumberFormat="1" applyFill="1" applyBorder="1" applyAlignment="1">
      <alignment horizontal="left" vertical="center" wrapText="1"/>
    </xf>
    <xf numFmtId="0" fontId="0" fillId="0" borderId="19" xfId="0" applyFill="1" applyBorder="1" applyAlignment="1">
      <alignment horizontal="left" vertical="center"/>
    </xf>
    <xf numFmtId="0" fontId="17" fillId="0" borderId="0" xfId="0" applyFont="1" applyBorder="1" applyAlignment="1">
      <alignment horizontal="center" vertical="center"/>
    </xf>
    <xf numFmtId="0" fontId="20" fillId="0" borderId="0" xfId="0" applyFont="1" applyAlignment="1">
      <alignment horizontal="left" vertical="top"/>
    </xf>
    <xf numFmtId="9" fontId="21" fillId="6" borderId="5" xfId="6" applyFont="1" applyFill="1" applyBorder="1">
      <alignment vertical="center"/>
    </xf>
    <xf numFmtId="0" fontId="0" fillId="0" borderId="5" xfId="0" applyBorder="1" applyAlignment="1">
      <alignment horizontal="left" vertical="top" wrapText="1"/>
    </xf>
  </cellXfs>
  <cellStyles count="7">
    <cellStyle name="パーセント" xfId="6" builtinId="5"/>
    <cellStyle name="桁区切り" xfId="1" builtinId="6"/>
    <cellStyle name="桁区切り 3" xfId="4"/>
    <cellStyle name="標準" xfId="0" builtinId="0"/>
    <cellStyle name="標準 2" xfId="2"/>
    <cellStyle name="標準 2 2" xfId="3"/>
    <cellStyle name="標準 2 3" xfId="5"/>
  </cellStyles>
  <dxfs count="0"/>
  <tableStyles count="0" defaultTableStyle="TableStyleMedium9" defaultPivotStyle="PivotStyleLight16"/>
  <colors>
    <mruColors>
      <color rgb="FFCCFFCC"/>
      <color rgb="FFFFE1FF"/>
      <color rgb="FFFFFFCC"/>
      <color rgb="FFFFFF99"/>
      <color rgb="FFFFCCFF"/>
      <color rgb="FF00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557892</xdr:colOff>
      <xdr:row>34</xdr:row>
      <xdr:rowOff>149679</xdr:rowOff>
    </xdr:from>
    <xdr:to>
      <xdr:col>10</xdr:col>
      <xdr:colOff>776304</xdr:colOff>
      <xdr:row>70</xdr:row>
      <xdr:rowOff>5260</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7892" y="7225393"/>
          <a:ext cx="8654143" cy="6223723"/>
        </a:xfrm>
        <a:prstGeom prst="rect">
          <a:avLst/>
        </a:prstGeom>
      </xdr:spPr>
    </xdr:pic>
    <xdr:clientData/>
  </xdr:twoCellAnchor>
  <xdr:twoCellAnchor editAs="oneCell">
    <xdr:from>
      <xdr:col>0</xdr:col>
      <xdr:colOff>326572</xdr:colOff>
      <xdr:row>72</xdr:row>
      <xdr:rowOff>128227</xdr:rowOff>
    </xdr:from>
    <xdr:to>
      <xdr:col>11</xdr:col>
      <xdr:colOff>24552</xdr:colOff>
      <xdr:row>109</xdr:row>
      <xdr:rowOff>116448</xdr:rowOff>
    </xdr:to>
    <xdr:pic>
      <xdr:nvPicPr>
        <xdr:cNvPr id="3"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572" y="13925870"/>
          <a:ext cx="9108623" cy="6533257"/>
        </a:xfrm>
        <a:prstGeom prst="rect">
          <a:avLst/>
        </a:prstGeom>
      </xdr:spPr>
    </xdr:pic>
    <xdr:clientData/>
  </xdr:twoCellAnchor>
  <xdr:twoCellAnchor>
    <xdr:from>
      <xdr:col>0</xdr:col>
      <xdr:colOff>0</xdr:colOff>
      <xdr:row>37</xdr:row>
      <xdr:rowOff>122465</xdr:rowOff>
    </xdr:from>
    <xdr:to>
      <xdr:col>1</xdr:col>
      <xdr:colOff>231321</xdr:colOff>
      <xdr:row>40</xdr:row>
      <xdr:rowOff>1</xdr:rowOff>
    </xdr:to>
    <xdr:sp macro="" textlink="">
      <xdr:nvSpPr>
        <xdr:cNvPr id="4" name="正方形/長方形 3"/>
        <xdr:cNvSpPr/>
      </xdr:nvSpPr>
      <xdr:spPr>
        <a:xfrm>
          <a:off x="0" y="7728858"/>
          <a:ext cx="911678" cy="408214"/>
        </a:xfrm>
        <a:prstGeom prst="rect">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rPr>
            <a:t>個人</a:t>
          </a:r>
          <a:endParaRPr kumimoji="1" lang="en-US" altLang="ja-JP" sz="1800">
            <a:solidFill>
              <a:sysClr val="windowText" lastClr="000000"/>
            </a:solidFill>
          </a:endParaRPr>
        </a:p>
      </xdr:txBody>
    </xdr:sp>
    <xdr:clientData/>
  </xdr:twoCellAnchor>
  <xdr:twoCellAnchor>
    <xdr:from>
      <xdr:col>0</xdr:col>
      <xdr:colOff>16332</xdr:colOff>
      <xdr:row>74</xdr:row>
      <xdr:rowOff>125185</xdr:rowOff>
    </xdr:from>
    <xdr:to>
      <xdr:col>1</xdr:col>
      <xdr:colOff>247653</xdr:colOff>
      <xdr:row>77</xdr:row>
      <xdr:rowOff>2721</xdr:rowOff>
    </xdr:to>
    <xdr:sp macro="" textlink="">
      <xdr:nvSpPr>
        <xdr:cNvPr id="5" name="正方形/長方形 4"/>
        <xdr:cNvSpPr/>
      </xdr:nvSpPr>
      <xdr:spPr>
        <a:xfrm>
          <a:off x="16332" y="14276614"/>
          <a:ext cx="911678" cy="408214"/>
        </a:xfrm>
        <a:prstGeom prst="rect">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rPr>
            <a:t>法人</a:t>
          </a:r>
          <a:endParaRPr kumimoji="1" lang="en-US" altLang="ja-JP" sz="1800">
            <a:solidFill>
              <a:sysClr val="windowText" lastClr="000000"/>
            </a:solidFill>
          </a:endParaRPr>
        </a:p>
      </xdr:txBody>
    </xdr:sp>
    <xdr:clientData/>
  </xdr:twoCellAnchor>
  <xdr:twoCellAnchor>
    <xdr:from>
      <xdr:col>0</xdr:col>
      <xdr:colOff>0</xdr:colOff>
      <xdr:row>12</xdr:row>
      <xdr:rowOff>106803</xdr:rowOff>
    </xdr:from>
    <xdr:to>
      <xdr:col>6</xdr:col>
      <xdr:colOff>1344705</xdr:colOff>
      <xdr:row>16</xdr:row>
      <xdr:rowOff>134470</xdr:rowOff>
    </xdr:to>
    <xdr:sp macro="" textlink="">
      <xdr:nvSpPr>
        <xdr:cNvPr id="6" name="正方形/長方形 5"/>
        <xdr:cNvSpPr/>
      </xdr:nvSpPr>
      <xdr:spPr>
        <a:xfrm>
          <a:off x="0" y="3065156"/>
          <a:ext cx="6600264" cy="86810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sng"/>
            <a:t>算定の際に必ず確認してください。</a:t>
          </a:r>
          <a:endParaRPr kumimoji="1" lang="en-US" altLang="ja-JP" sz="1100" b="1" u="sng"/>
        </a:p>
        <a:p>
          <a:pPr algn="l"/>
          <a:r>
            <a:rPr kumimoji="1" lang="ja-JP" altLang="en-US" sz="1100"/>
            <a:t>収入において、目標年にはない雑収入がある場合は、その分減額してください。また、増額する場合は収支計画に積算根拠を記載してください。</a:t>
          </a:r>
          <a:endParaRPr kumimoji="1" lang="en-US" altLang="ja-JP" sz="1100"/>
        </a:p>
        <a:p>
          <a:pPr algn="l"/>
          <a:r>
            <a:rPr kumimoji="1" lang="ja-JP" altLang="en-US" sz="1100"/>
            <a:t>人件費の中に、専従者給与は入れないでください。パート従業員など雇人費だけにしてください。</a:t>
          </a:r>
          <a:endParaRPr kumimoji="1" lang="en-US" altLang="ja-JP" sz="1100"/>
        </a:p>
        <a:p>
          <a:pPr algn="l"/>
          <a:endParaRPr kumimoji="1" lang="en-US" altLang="ja-JP" sz="1100"/>
        </a:p>
      </xdr:txBody>
    </xdr:sp>
    <xdr:clientData/>
  </xdr:twoCellAnchor>
  <xdr:twoCellAnchor>
    <xdr:from>
      <xdr:col>5</xdr:col>
      <xdr:colOff>311792</xdr:colOff>
      <xdr:row>18</xdr:row>
      <xdr:rowOff>129672</xdr:rowOff>
    </xdr:from>
    <xdr:to>
      <xdr:col>11</xdr:col>
      <xdr:colOff>672359</xdr:colOff>
      <xdr:row>33</xdr:row>
      <xdr:rowOff>44824</xdr:rowOff>
    </xdr:to>
    <xdr:sp macro="" textlink="">
      <xdr:nvSpPr>
        <xdr:cNvPr id="7" name="正方形/長方形 6"/>
        <xdr:cNvSpPr/>
      </xdr:nvSpPr>
      <xdr:spPr>
        <a:xfrm>
          <a:off x="4413145" y="4298260"/>
          <a:ext cx="5694567" cy="243647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②経営面積の拡大</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　～令和７年１月２９日以降に拡大する面積。ただし、従来から賃貸している農地を取得する場合や、休耕していた農地を作付けする場合は含まない。</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○農地中間管理機構から賃借権等の設定等を受けており、かつ、</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　</a:t>
          </a:r>
          <a:r>
            <a:rPr kumimoji="1" lang="en-US" altLang="ja-JP" sz="1100" u="sng">
              <a:latin typeface="BIZ UDPゴシック" panose="020B0400000000000000" pitchFamily="50" charset="-128"/>
              <a:ea typeface="BIZ UDPゴシック" panose="020B0400000000000000" pitchFamily="50" charset="-128"/>
            </a:rPr>
            <a:t>a</a:t>
          </a:r>
          <a:r>
            <a:rPr kumimoji="1" lang="ja-JP" altLang="en-US" sz="1100" u="sng">
              <a:latin typeface="BIZ UDPゴシック" panose="020B0400000000000000" pitchFamily="50" charset="-128"/>
              <a:ea typeface="BIZ UDPゴシック" panose="020B0400000000000000" pitchFamily="50" charset="-128"/>
            </a:rPr>
            <a:t>　現状より４</a:t>
          </a:r>
          <a:r>
            <a:rPr kumimoji="1" lang="en-US" altLang="ja-JP" sz="1100" u="sng">
              <a:latin typeface="BIZ UDPゴシック" panose="020B0400000000000000" pitchFamily="50" charset="-128"/>
              <a:ea typeface="BIZ UDPゴシック" panose="020B0400000000000000" pitchFamily="50" charset="-128"/>
            </a:rPr>
            <a:t>ha</a:t>
          </a:r>
          <a:r>
            <a:rPr kumimoji="1" lang="ja-JP" altLang="en-US" sz="1100" u="sng">
              <a:latin typeface="BIZ UDPゴシック" panose="020B0400000000000000" pitchFamily="50" charset="-128"/>
              <a:ea typeface="BIZ UDPゴシック" panose="020B0400000000000000" pitchFamily="50" charset="-128"/>
            </a:rPr>
            <a:t>（施設園芸作の場合は</a:t>
          </a:r>
          <a:r>
            <a:rPr kumimoji="1" lang="en-US" altLang="ja-JP" sz="1100" u="sng">
              <a:latin typeface="BIZ UDPゴシック" panose="020B0400000000000000" pitchFamily="50" charset="-128"/>
              <a:ea typeface="BIZ UDPゴシック" panose="020B0400000000000000" pitchFamily="50" charset="-128"/>
            </a:rPr>
            <a:t>20</a:t>
          </a:r>
          <a:r>
            <a:rPr kumimoji="1" lang="ja-JP" altLang="en-US" sz="1100" u="sng">
              <a:latin typeface="BIZ UDPゴシック" panose="020B0400000000000000" pitchFamily="50" charset="-128"/>
              <a:ea typeface="BIZ UDPゴシック" panose="020B0400000000000000" pitchFamily="50" charset="-128"/>
            </a:rPr>
            <a:t>％、果樹作の場合は</a:t>
          </a:r>
          <a:r>
            <a:rPr kumimoji="1" lang="en-US" altLang="ja-JP" sz="1100" u="sng">
              <a:latin typeface="BIZ UDPゴシック" panose="020B0400000000000000" pitchFamily="50" charset="-128"/>
              <a:ea typeface="BIZ UDPゴシック" panose="020B0400000000000000" pitchFamily="50" charset="-128"/>
            </a:rPr>
            <a:t>10</a:t>
          </a:r>
          <a:r>
            <a:rPr kumimoji="1" lang="ja-JP" altLang="en-US" sz="1100" u="sng">
              <a:latin typeface="BIZ UDPゴシック" panose="020B0400000000000000" pitchFamily="50" charset="-128"/>
              <a:ea typeface="BIZ UDPゴシック" panose="020B0400000000000000" pitchFamily="50" charset="-128"/>
            </a:rPr>
            <a:t>％）以上　　５点</a:t>
          </a:r>
          <a:endParaRPr kumimoji="1" lang="en-US" altLang="ja-JP" sz="1100" u="sng">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　</a:t>
          </a:r>
          <a:r>
            <a:rPr kumimoji="1" lang="en-US" altLang="ja-JP" sz="1100" u="sng">
              <a:latin typeface="BIZ UDPゴシック" panose="020B0400000000000000" pitchFamily="50" charset="-128"/>
              <a:ea typeface="BIZ UDPゴシック" panose="020B0400000000000000" pitchFamily="50" charset="-128"/>
            </a:rPr>
            <a:t>b</a:t>
          </a:r>
          <a:r>
            <a:rPr kumimoji="1" lang="ja-JP" altLang="en-US" sz="1100" u="sng">
              <a:latin typeface="BIZ UDPゴシック" panose="020B0400000000000000" pitchFamily="50" charset="-128"/>
              <a:ea typeface="BIZ UDPゴシック" panose="020B0400000000000000" pitchFamily="50" charset="-128"/>
            </a:rPr>
            <a:t>　現状より２</a:t>
          </a:r>
          <a:r>
            <a:rPr kumimoji="1" lang="en-US" altLang="ja-JP" sz="1100" u="sng">
              <a:latin typeface="BIZ UDPゴシック" panose="020B0400000000000000" pitchFamily="50" charset="-128"/>
              <a:ea typeface="BIZ UDPゴシック" panose="020B0400000000000000" pitchFamily="50" charset="-128"/>
            </a:rPr>
            <a:t>ha</a:t>
          </a:r>
          <a:r>
            <a:rPr kumimoji="1" lang="ja-JP" altLang="en-US" sz="1100" u="sng">
              <a:latin typeface="BIZ UDPゴシック" panose="020B0400000000000000" pitchFamily="50" charset="-128"/>
              <a:ea typeface="BIZ UDPゴシック" panose="020B0400000000000000" pitchFamily="50" charset="-128"/>
            </a:rPr>
            <a:t>（施設園芸作の場合は</a:t>
          </a:r>
          <a:r>
            <a:rPr kumimoji="1" lang="en-US" altLang="ja-JP" sz="1100" u="sng">
              <a:latin typeface="BIZ UDPゴシック" panose="020B0400000000000000" pitchFamily="50" charset="-128"/>
              <a:ea typeface="BIZ UDPゴシック" panose="020B0400000000000000" pitchFamily="50" charset="-128"/>
            </a:rPr>
            <a:t>10</a:t>
          </a:r>
          <a:r>
            <a:rPr kumimoji="1" lang="ja-JP" altLang="en-US" sz="1100" u="sng">
              <a:latin typeface="BIZ UDPゴシック" panose="020B0400000000000000" pitchFamily="50" charset="-128"/>
              <a:ea typeface="BIZ UDPゴシック" panose="020B0400000000000000" pitchFamily="50" charset="-128"/>
            </a:rPr>
            <a:t>％、果樹作の場合は５％）以上　　　４点</a:t>
          </a:r>
          <a:endParaRPr kumimoji="1" lang="en-US" altLang="ja-JP" sz="1100" u="sng">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　</a:t>
          </a:r>
          <a:r>
            <a:rPr kumimoji="1" lang="en-US" altLang="ja-JP" sz="1100" u="sng">
              <a:latin typeface="BIZ UDPゴシック" panose="020B0400000000000000" pitchFamily="50" charset="-128"/>
              <a:ea typeface="BIZ UDPゴシック" panose="020B0400000000000000" pitchFamily="50" charset="-128"/>
            </a:rPr>
            <a:t>c</a:t>
          </a:r>
          <a:r>
            <a:rPr kumimoji="1" lang="ja-JP" altLang="en-US" sz="1100" u="sng">
              <a:latin typeface="BIZ UDPゴシック" panose="020B0400000000000000" pitchFamily="50" charset="-128"/>
              <a:ea typeface="BIZ UDPゴシック" panose="020B0400000000000000" pitchFamily="50" charset="-128"/>
            </a:rPr>
            <a:t>　現状より経営面積の拡大　　　　　　　　　　　　　　　　　　　　　　　　　　　　　　</a:t>
          </a:r>
          <a:r>
            <a:rPr kumimoji="1" lang="ja-JP" altLang="en-US" sz="1100" u="sng" baseline="0">
              <a:latin typeface="BIZ UDPゴシック" panose="020B0400000000000000" pitchFamily="50" charset="-128"/>
              <a:ea typeface="BIZ UDPゴシック" panose="020B0400000000000000" pitchFamily="50" charset="-128"/>
            </a:rPr>
            <a:t>　</a:t>
          </a:r>
          <a:r>
            <a:rPr kumimoji="1" lang="ja-JP" altLang="en-US" sz="1100" u="sng">
              <a:latin typeface="BIZ UDPゴシック" panose="020B0400000000000000" pitchFamily="50" charset="-128"/>
              <a:ea typeface="BIZ UDPゴシック" panose="020B0400000000000000" pitchFamily="50" charset="-128"/>
            </a:rPr>
            <a:t>　３点</a:t>
          </a:r>
          <a:endParaRPr kumimoji="1" lang="en-US" altLang="ja-JP" sz="1100" u="sng">
            <a:latin typeface="BIZ UDPゴシック" panose="020B0400000000000000" pitchFamily="50" charset="-128"/>
            <a:ea typeface="BIZ UDPゴシック" panose="020B0400000000000000" pitchFamily="50" charset="-128"/>
          </a:endParaRPr>
        </a:p>
        <a:p>
          <a:pPr algn="l"/>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農地中間管理機構</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を活用していない</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100" u="sng">
              <a:solidFill>
                <a:schemeClr val="dk1"/>
              </a:solidFill>
              <a:effectLst/>
              <a:latin typeface="BIZ UDPゴシック" panose="020B0400000000000000" pitchFamily="50" charset="-128"/>
              <a:ea typeface="BIZ UDPゴシック" panose="020B0400000000000000" pitchFamily="50" charset="-128"/>
              <a:cs typeface="+mn-cs"/>
            </a:rPr>
            <a:t>d</a:t>
          </a:r>
          <a:r>
            <a:rPr kumimoji="1" lang="ja-JP" altLang="en-US" sz="1100" u="sng">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u="sng">
              <a:solidFill>
                <a:schemeClr val="dk1"/>
              </a:solidFill>
              <a:effectLst/>
              <a:latin typeface="BIZ UDPゴシック" panose="020B0400000000000000" pitchFamily="50" charset="-128"/>
              <a:ea typeface="BIZ UDPゴシック" panose="020B0400000000000000" pitchFamily="50" charset="-128"/>
              <a:cs typeface="+mn-cs"/>
            </a:rPr>
            <a:t>現状より２</a:t>
          </a:r>
          <a:r>
            <a:rPr kumimoji="1" lang="en-US" altLang="ja-JP" sz="1100" u="sng">
              <a:solidFill>
                <a:schemeClr val="dk1"/>
              </a:solidFill>
              <a:effectLst/>
              <a:latin typeface="BIZ UDPゴシック" panose="020B0400000000000000" pitchFamily="50" charset="-128"/>
              <a:ea typeface="BIZ UDPゴシック" panose="020B0400000000000000" pitchFamily="50" charset="-128"/>
              <a:cs typeface="+mn-cs"/>
            </a:rPr>
            <a:t>ha</a:t>
          </a:r>
          <a:r>
            <a:rPr kumimoji="1" lang="ja-JP" altLang="ja-JP" sz="1100" u="sng">
              <a:solidFill>
                <a:schemeClr val="dk1"/>
              </a:solidFill>
              <a:effectLst/>
              <a:latin typeface="BIZ UDPゴシック" panose="020B0400000000000000" pitchFamily="50" charset="-128"/>
              <a:ea typeface="BIZ UDPゴシック" panose="020B0400000000000000" pitchFamily="50" charset="-128"/>
              <a:cs typeface="+mn-cs"/>
            </a:rPr>
            <a:t>（施設園芸作の場合は</a:t>
          </a:r>
          <a:r>
            <a:rPr kumimoji="1" lang="en-US" altLang="ja-JP" sz="1100" u="sng">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1100" u="sng">
              <a:solidFill>
                <a:schemeClr val="dk1"/>
              </a:solidFill>
              <a:effectLst/>
              <a:latin typeface="BIZ UDPゴシック" panose="020B0400000000000000" pitchFamily="50" charset="-128"/>
              <a:ea typeface="BIZ UDPゴシック" panose="020B0400000000000000" pitchFamily="50" charset="-128"/>
              <a:cs typeface="+mn-cs"/>
            </a:rPr>
            <a:t>％、果樹作の場合は５％）以上　</a:t>
          </a:r>
          <a:r>
            <a:rPr kumimoji="1" lang="ja-JP" altLang="en-US" sz="1100" u="sng">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100" u="sng">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100" u="sng">
              <a:solidFill>
                <a:schemeClr val="dk1"/>
              </a:solidFill>
              <a:effectLst/>
              <a:latin typeface="BIZ UDPゴシック" panose="020B0400000000000000" pitchFamily="50" charset="-128"/>
              <a:ea typeface="BIZ UDPゴシック" panose="020B0400000000000000" pitchFamily="50" charset="-128"/>
              <a:cs typeface="+mn-cs"/>
            </a:rPr>
            <a:t>２点</a:t>
          </a:r>
          <a:endParaRPr kumimoji="1" lang="en-US" altLang="ja-JP" sz="1100" u="sng">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100" u="sng">
              <a:solidFill>
                <a:schemeClr val="dk1"/>
              </a:solidFill>
              <a:effectLst/>
              <a:latin typeface="BIZ UDPゴシック" panose="020B0400000000000000" pitchFamily="50" charset="-128"/>
              <a:ea typeface="BIZ UDPゴシック" panose="020B0400000000000000" pitchFamily="50" charset="-128"/>
              <a:cs typeface="+mn-cs"/>
            </a:rPr>
            <a:t>e</a:t>
          </a:r>
          <a:r>
            <a:rPr kumimoji="1" lang="ja-JP" altLang="en-US" sz="1100" u="sng">
              <a:solidFill>
                <a:schemeClr val="dk1"/>
              </a:solidFill>
              <a:effectLst/>
              <a:latin typeface="BIZ UDPゴシック" panose="020B0400000000000000" pitchFamily="50" charset="-128"/>
              <a:ea typeface="BIZ UDPゴシック" panose="020B0400000000000000" pitchFamily="50" charset="-128"/>
              <a:cs typeface="+mn-cs"/>
            </a:rPr>
            <a:t>　上記に該当せず、目標年度に現状より経営面積の拡大　　　　　　　　　　　　　１点</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　　　　　　　　</a:t>
          </a:r>
          <a:endParaRPr lang="ja-JP" altLang="ja-JP">
            <a:effectLst/>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246532</xdr:colOff>
      <xdr:row>23</xdr:row>
      <xdr:rowOff>109529</xdr:rowOff>
    </xdr:from>
    <xdr:to>
      <xdr:col>4</xdr:col>
      <xdr:colOff>605119</xdr:colOff>
      <xdr:row>33</xdr:row>
      <xdr:rowOff>49659</xdr:rowOff>
    </xdr:to>
    <xdr:sp macro="" textlink="">
      <xdr:nvSpPr>
        <xdr:cNvPr id="8" name="正方形/長方形 7"/>
        <xdr:cNvSpPr/>
      </xdr:nvSpPr>
      <xdr:spPr>
        <a:xfrm>
          <a:off x="2028267" y="5118558"/>
          <a:ext cx="1994646" cy="162101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ウ　付加価値額の</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　　増加額目標ポイント</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ja-JP" altLang="en-US"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　</a:t>
          </a:r>
          <a:r>
            <a:rPr kumimoji="1" lang="ja-JP" altLang="en-US" sz="1100" u="sng">
              <a:latin typeface="BIZ UDPゴシック" panose="020B0400000000000000" pitchFamily="50" charset="-128"/>
              <a:ea typeface="BIZ UDPゴシック" panose="020B0400000000000000" pitchFamily="50" charset="-128"/>
            </a:rPr>
            <a:t>ａ　</a:t>
          </a:r>
          <a:r>
            <a:rPr kumimoji="1" lang="en-US" altLang="ja-JP" sz="1100" u="sng">
              <a:latin typeface="BIZ UDPゴシック" panose="020B0400000000000000" pitchFamily="50" charset="-128"/>
              <a:ea typeface="BIZ UDPゴシック" panose="020B0400000000000000" pitchFamily="50" charset="-128"/>
            </a:rPr>
            <a:t>100</a:t>
          </a:r>
          <a:r>
            <a:rPr kumimoji="1" lang="ja-JP" altLang="en-US" sz="1100" u="sng">
              <a:latin typeface="BIZ UDPゴシック" panose="020B0400000000000000" pitchFamily="50" charset="-128"/>
              <a:ea typeface="BIZ UDPゴシック" panose="020B0400000000000000" pitchFamily="50" charset="-128"/>
            </a:rPr>
            <a:t>万円以上　１点</a:t>
          </a:r>
        </a:p>
        <a:p>
          <a:pPr algn="l"/>
          <a:r>
            <a:rPr kumimoji="1" lang="ja-JP" altLang="en-US" sz="1100" u="none">
              <a:latin typeface="BIZ UDPゴシック" panose="020B0400000000000000" pitchFamily="50" charset="-128"/>
              <a:ea typeface="BIZ UDPゴシック" panose="020B0400000000000000" pitchFamily="50" charset="-128"/>
            </a:rPr>
            <a:t>　</a:t>
          </a:r>
          <a:r>
            <a:rPr kumimoji="1" lang="ja-JP" altLang="en-US" sz="1100" u="sng">
              <a:latin typeface="BIZ UDPゴシック" panose="020B0400000000000000" pitchFamily="50" charset="-128"/>
              <a:ea typeface="BIZ UDPゴシック" panose="020B0400000000000000" pitchFamily="50" charset="-128"/>
            </a:rPr>
            <a:t>ｂ　</a:t>
          </a:r>
          <a:r>
            <a:rPr kumimoji="1" lang="en-US" altLang="ja-JP" sz="1100" u="sng">
              <a:latin typeface="BIZ UDPゴシック" panose="020B0400000000000000" pitchFamily="50" charset="-128"/>
              <a:ea typeface="BIZ UDPゴシック" panose="020B0400000000000000" pitchFamily="50" charset="-128"/>
            </a:rPr>
            <a:t>200</a:t>
          </a:r>
          <a:r>
            <a:rPr kumimoji="1" lang="ja-JP" altLang="en-US" sz="1100" u="sng">
              <a:latin typeface="BIZ UDPゴシック" panose="020B0400000000000000" pitchFamily="50" charset="-128"/>
              <a:ea typeface="BIZ UDPゴシック" panose="020B0400000000000000" pitchFamily="50" charset="-128"/>
            </a:rPr>
            <a:t>万円以上　２点</a:t>
          </a:r>
        </a:p>
        <a:p>
          <a:pPr algn="l"/>
          <a:r>
            <a:rPr kumimoji="1" lang="ja-JP" altLang="en-US" sz="1100" u="none">
              <a:latin typeface="BIZ UDPゴシック" panose="020B0400000000000000" pitchFamily="50" charset="-128"/>
              <a:ea typeface="BIZ UDPゴシック" panose="020B0400000000000000" pitchFamily="50" charset="-128"/>
            </a:rPr>
            <a:t>　</a:t>
          </a:r>
          <a:r>
            <a:rPr kumimoji="1" lang="ja-JP" altLang="en-US" sz="1100" u="sng">
              <a:latin typeface="BIZ UDPゴシック" panose="020B0400000000000000" pitchFamily="50" charset="-128"/>
              <a:ea typeface="BIZ UDPゴシック" panose="020B0400000000000000" pitchFamily="50" charset="-128"/>
            </a:rPr>
            <a:t>ｃ　</a:t>
          </a:r>
          <a:r>
            <a:rPr kumimoji="1" lang="en-US" altLang="ja-JP" sz="1100" u="sng">
              <a:latin typeface="BIZ UDPゴシック" panose="020B0400000000000000" pitchFamily="50" charset="-128"/>
              <a:ea typeface="BIZ UDPゴシック" panose="020B0400000000000000" pitchFamily="50" charset="-128"/>
            </a:rPr>
            <a:t>300</a:t>
          </a:r>
          <a:r>
            <a:rPr kumimoji="1" lang="ja-JP" altLang="en-US" sz="1100" u="sng">
              <a:latin typeface="BIZ UDPゴシック" panose="020B0400000000000000" pitchFamily="50" charset="-128"/>
              <a:ea typeface="BIZ UDPゴシック" panose="020B0400000000000000" pitchFamily="50" charset="-128"/>
            </a:rPr>
            <a:t>万円以上　３点</a:t>
          </a:r>
        </a:p>
        <a:p>
          <a:pPr algn="l"/>
          <a:r>
            <a:rPr kumimoji="1" lang="ja-JP" altLang="en-US" sz="1100" u="none">
              <a:latin typeface="BIZ UDPゴシック" panose="020B0400000000000000" pitchFamily="50" charset="-128"/>
              <a:ea typeface="BIZ UDPゴシック" panose="020B0400000000000000" pitchFamily="50" charset="-128"/>
            </a:rPr>
            <a:t>　</a:t>
          </a:r>
          <a:r>
            <a:rPr kumimoji="1" lang="ja-JP" altLang="en-US" sz="1100" u="sng">
              <a:latin typeface="BIZ UDPゴシック" panose="020B0400000000000000" pitchFamily="50" charset="-128"/>
              <a:ea typeface="BIZ UDPゴシック" panose="020B0400000000000000" pitchFamily="50" charset="-128"/>
            </a:rPr>
            <a:t>ｄ　</a:t>
          </a:r>
          <a:r>
            <a:rPr kumimoji="1" lang="en-US" altLang="ja-JP" sz="1100" u="sng">
              <a:latin typeface="BIZ UDPゴシック" panose="020B0400000000000000" pitchFamily="50" charset="-128"/>
              <a:ea typeface="BIZ UDPゴシック" panose="020B0400000000000000" pitchFamily="50" charset="-128"/>
            </a:rPr>
            <a:t>400</a:t>
          </a:r>
          <a:r>
            <a:rPr kumimoji="1" lang="ja-JP" altLang="en-US" sz="1100" u="sng">
              <a:latin typeface="BIZ UDPゴシック" panose="020B0400000000000000" pitchFamily="50" charset="-128"/>
              <a:ea typeface="BIZ UDPゴシック" panose="020B0400000000000000" pitchFamily="50" charset="-128"/>
            </a:rPr>
            <a:t>万円以上　４点</a:t>
          </a:r>
        </a:p>
        <a:p>
          <a:pPr algn="l"/>
          <a:r>
            <a:rPr kumimoji="1" lang="ja-JP" altLang="en-US" sz="1100" u="none">
              <a:latin typeface="BIZ UDPゴシック" panose="020B0400000000000000" pitchFamily="50" charset="-128"/>
              <a:ea typeface="BIZ UDPゴシック" panose="020B0400000000000000" pitchFamily="50" charset="-128"/>
            </a:rPr>
            <a:t>　</a:t>
          </a:r>
          <a:r>
            <a:rPr kumimoji="1" lang="ja-JP" altLang="en-US" sz="1100" u="sng">
              <a:latin typeface="BIZ UDPゴシック" panose="020B0400000000000000" pitchFamily="50" charset="-128"/>
              <a:ea typeface="BIZ UDPゴシック" panose="020B0400000000000000" pitchFamily="50" charset="-128"/>
            </a:rPr>
            <a:t>ｅ　</a:t>
          </a:r>
          <a:r>
            <a:rPr kumimoji="1" lang="en-US" altLang="ja-JP" sz="1100" u="sng">
              <a:latin typeface="BIZ UDPゴシック" panose="020B0400000000000000" pitchFamily="50" charset="-128"/>
              <a:ea typeface="BIZ UDPゴシック" panose="020B0400000000000000" pitchFamily="50" charset="-128"/>
            </a:rPr>
            <a:t>500</a:t>
          </a:r>
          <a:r>
            <a:rPr kumimoji="1" lang="ja-JP" altLang="en-US" sz="1100" u="sng">
              <a:latin typeface="BIZ UDPゴシック" panose="020B0400000000000000" pitchFamily="50" charset="-128"/>
              <a:ea typeface="BIZ UDPゴシック" panose="020B0400000000000000" pitchFamily="50" charset="-128"/>
            </a:rPr>
            <a:t>万円以上　５点</a:t>
          </a:r>
        </a:p>
      </xdr:txBody>
    </xdr:sp>
    <xdr:clientData/>
  </xdr:twoCellAnchor>
  <xdr:twoCellAnchor>
    <xdr:from>
      <xdr:col>0</xdr:col>
      <xdr:colOff>1</xdr:colOff>
      <xdr:row>23</xdr:row>
      <xdr:rowOff>102820</xdr:rowOff>
    </xdr:from>
    <xdr:to>
      <xdr:col>2</xdr:col>
      <xdr:colOff>156884</xdr:colOff>
      <xdr:row>32</xdr:row>
      <xdr:rowOff>146128</xdr:rowOff>
    </xdr:to>
    <xdr:sp macro="" textlink="">
      <xdr:nvSpPr>
        <xdr:cNvPr id="9" name="正方形/長方形 8"/>
        <xdr:cNvSpPr/>
      </xdr:nvSpPr>
      <xdr:spPr>
        <a:xfrm>
          <a:off x="1" y="5111849"/>
          <a:ext cx="1938618" cy="155610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イ　付加価値額の</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　　拡大率目標ポイント</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ja-JP" altLang="en-US" sz="1100">
            <a:latin typeface="BIZ UDPゴシック" panose="020B0400000000000000" pitchFamily="50" charset="-128"/>
            <a:ea typeface="BIZ UDPゴシック" panose="020B0400000000000000" pitchFamily="50" charset="-128"/>
          </a:endParaRPr>
        </a:p>
        <a:p>
          <a:pPr algn="l"/>
          <a:r>
            <a:rPr kumimoji="1" lang="ja-JP" altLang="en-US" sz="1100" u="none">
              <a:latin typeface="BIZ UDPゴシック" panose="020B0400000000000000" pitchFamily="50" charset="-128"/>
              <a:ea typeface="BIZ UDPゴシック" panose="020B0400000000000000" pitchFamily="50" charset="-128"/>
            </a:rPr>
            <a:t>　</a:t>
          </a:r>
          <a:r>
            <a:rPr kumimoji="1" lang="ja-JP" altLang="en-US" sz="1100" u="sng">
              <a:latin typeface="BIZ UDPゴシック" panose="020B0400000000000000" pitchFamily="50" charset="-128"/>
              <a:ea typeface="BIZ UDPゴシック" panose="020B0400000000000000" pitchFamily="50" charset="-128"/>
            </a:rPr>
            <a:t>ａ　３％以上　１点</a:t>
          </a:r>
        </a:p>
        <a:p>
          <a:pPr algn="l"/>
          <a:r>
            <a:rPr kumimoji="1" lang="ja-JP" altLang="en-US" sz="1100" u="none">
              <a:latin typeface="BIZ UDPゴシック" panose="020B0400000000000000" pitchFamily="50" charset="-128"/>
              <a:ea typeface="BIZ UDPゴシック" panose="020B0400000000000000" pitchFamily="50" charset="-128"/>
            </a:rPr>
            <a:t>　</a:t>
          </a:r>
          <a:r>
            <a:rPr kumimoji="1" lang="ja-JP" altLang="en-US" sz="1100" u="sng">
              <a:latin typeface="BIZ UDPゴシック" panose="020B0400000000000000" pitchFamily="50" charset="-128"/>
              <a:ea typeface="BIZ UDPゴシック" panose="020B0400000000000000" pitchFamily="50" charset="-128"/>
            </a:rPr>
            <a:t>ｂ　</a:t>
          </a:r>
          <a:r>
            <a:rPr kumimoji="1" lang="en-US" altLang="ja-JP" sz="1100" u="sng">
              <a:latin typeface="BIZ UDPゴシック" panose="020B0400000000000000" pitchFamily="50" charset="-128"/>
              <a:ea typeface="BIZ UDPゴシック" panose="020B0400000000000000" pitchFamily="50" charset="-128"/>
            </a:rPr>
            <a:t>10</a:t>
          </a:r>
          <a:r>
            <a:rPr kumimoji="1" lang="ja-JP" altLang="en-US" sz="1100" u="sng">
              <a:latin typeface="BIZ UDPゴシック" panose="020B0400000000000000" pitchFamily="50" charset="-128"/>
              <a:ea typeface="BIZ UDPゴシック" panose="020B0400000000000000" pitchFamily="50" charset="-128"/>
            </a:rPr>
            <a:t>％以上　２点</a:t>
          </a:r>
        </a:p>
        <a:p>
          <a:pPr algn="l"/>
          <a:r>
            <a:rPr kumimoji="1" lang="ja-JP" altLang="en-US" sz="1100" u="none">
              <a:latin typeface="BIZ UDPゴシック" panose="020B0400000000000000" pitchFamily="50" charset="-128"/>
              <a:ea typeface="BIZ UDPゴシック" panose="020B0400000000000000" pitchFamily="50" charset="-128"/>
            </a:rPr>
            <a:t>　</a:t>
          </a:r>
          <a:r>
            <a:rPr kumimoji="1" lang="ja-JP" altLang="en-US" sz="1100" u="sng">
              <a:latin typeface="BIZ UDPゴシック" panose="020B0400000000000000" pitchFamily="50" charset="-128"/>
              <a:ea typeface="BIZ UDPゴシック" panose="020B0400000000000000" pitchFamily="50" charset="-128"/>
            </a:rPr>
            <a:t>ｃ　</a:t>
          </a:r>
          <a:r>
            <a:rPr kumimoji="1" lang="en-US" altLang="ja-JP" sz="1100" u="sng">
              <a:latin typeface="BIZ UDPゴシック" panose="020B0400000000000000" pitchFamily="50" charset="-128"/>
              <a:ea typeface="BIZ UDPゴシック" panose="020B0400000000000000" pitchFamily="50" charset="-128"/>
            </a:rPr>
            <a:t>15</a:t>
          </a:r>
          <a:r>
            <a:rPr kumimoji="1" lang="ja-JP" altLang="en-US" sz="1100" u="sng">
              <a:latin typeface="BIZ UDPゴシック" panose="020B0400000000000000" pitchFamily="50" charset="-128"/>
              <a:ea typeface="BIZ UDPゴシック" panose="020B0400000000000000" pitchFamily="50" charset="-128"/>
            </a:rPr>
            <a:t>％以上　３点　</a:t>
          </a:r>
        </a:p>
        <a:p>
          <a:pPr algn="l"/>
          <a:r>
            <a:rPr kumimoji="1" lang="ja-JP" altLang="en-US" sz="1100" u="none">
              <a:latin typeface="BIZ UDPゴシック" panose="020B0400000000000000" pitchFamily="50" charset="-128"/>
              <a:ea typeface="BIZ UDPゴシック" panose="020B0400000000000000" pitchFamily="50" charset="-128"/>
            </a:rPr>
            <a:t>　</a:t>
          </a:r>
          <a:r>
            <a:rPr kumimoji="1" lang="ja-JP" altLang="en-US" sz="1100" u="sng">
              <a:latin typeface="BIZ UDPゴシック" panose="020B0400000000000000" pitchFamily="50" charset="-128"/>
              <a:ea typeface="BIZ UDPゴシック" panose="020B0400000000000000" pitchFamily="50" charset="-128"/>
            </a:rPr>
            <a:t>ｄ　</a:t>
          </a:r>
          <a:r>
            <a:rPr kumimoji="1" lang="en-US" altLang="ja-JP" sz="1100" u="sng">
              <a:latin typeface="BIZ UDPゴシック" panose="020B0400000000000000" pitchFamily="50" charset="-128"/>
              <a:ea typeface="BIZ UDPゴシック" panose="020B0400000000000000" pitchFamily="50" charset="-128"/>
            </a:rPr>
            <a:t>20</a:t>
          </a:r>
          <a:r>
            <a:rPr kumimoji="1" lang="ja-JP" altLang="en-US" sz="1100" u="sng">
              <a:latin typeface="BIZ UDPゴシック" panose="020B0400000000000000" pitchFamily="50" charset="-128"/>
              <a:ea typeface="BIZ UDPゴシック" panose="020B0400000000000000" pitchFamily="50" charset="-128"/>
            </a:rPr>
            <a:t>％以上　４点</a:t>
          </a:r>
        </a:p>
        <a:p>
          <a:pPr algn="l"/>
          <a:r>
            <a:rPr kumimoji="1" lang="ja-JP" altLang="en-US" sz="1100" u="none">
              <a:latin typeface="BIZ UDPゴシック" panose="020B0400000000000000" pitchFamily="50" charset="-128"/>
              <a:ea typeface="BIZ UDPゴシック" panose="020B0400000000000000" pitchFamily="50" charset="-128"/>
            </a:rPr>
            <a:t>　</a:t>
          </a:r>
          <a:r>
            <a:rPr kumimoji="1" lang="ja-JP" altLang="en-US" sz="1100" u="sng">
              <a:latin typeface="BIZ UDPゴシック" panose="020B0400000000000000" pitchFamily="50" charset="-128"/>
              <a:ea typeface="BIZ UDPゴシック" panose="020B0400000000000000" pitchFamily="50" charset="-128"/>
            </a:rPr>
            <a:t>ｅ　</a:t>
          </a:r>
          <a:r>
            <a:rPr kumimoji="1" lang="en-US" altLang="ja-JP" sz="1100" u="sng">
              <a:latin typeface="BIZ UDPゴシック" panose="020B0400000000000000" pitchFamily="50" charset="-128"/>
              <a:ea typeface="BIZ UDPゴシック" panose="020B0400000000000000" pitchFamily="50" charset="-128"/>
            </a:rPr>
            <a:t>30</a:t>
          </a:r>
          <a:r>
            <a:rPr kumimoji="1" lang="ja-JP" altLang="en-US" sz="1100" u="sng">
              <a:latin typeface="BIZ UDPゴシック" panose="020B0400000000000000" pitchFamily="50" charset="-128"/>
              <a:ea typeface="BIZ UDPゴシック" panose="020B0400000000000000" pitchFamily="50" charset="-128"/>
            </a:rPr>
            <a:t>％以上　５点</a:t>
          </a:r>
          <a:endParaRPr kumimoji="1" lang="en-US" altLang="ja-JP" sz="1100" u="sng">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17</xdr:row>
      <xdr:rowOff>71228</xdr:rowOff>
    </xdr:from>
    <xdr:to>
      <xdr:col>2</xdr:col>
      <xdr:colOff>268941</xdr:colOff>
      <xdr:row>23</xdr:row>
      <xdr:rowOff>123265</xdr:rowOff>
    </xdr:to>
    <xdr:sp macro="" textlink="">
      <xdr:nvSpPr>
        <xdr:cNvPr id="10" name="正方形/長方形 9"/>
        <xdr:cNvSpPr/>
      </xdr:nvSpPr>
      <xdr:spPr>
        <a:xfrm>
          <a:off x="0" y="4071728"/>
          <a:ext cx="2050676" cy="106056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ポイント基準	</a:t>
          </a:r>
        </a:p>
        <a:p>
          <a:pPr algn="l"/>
          <a:r>
            <a:rPr kumimoji="1" lang="ja-JP" altLang="en-US" sz="1100">
              <a:latin typeface="BIZ UDPゴシック" panose="020B0400000000000000" pitchFamily="50" charset="-128"/>
              <a:ea typeface="BIZ UDPゴシック" panose="020B0400000000000000" pitchFamily="50" charset="-128"/>
            </a:rPr>
            <a:t>①付加価値額の拡大</a:t>
          </a:r>
        </a:p>
        <a:p>
          <a:pPr algn="l"/>
          <a:r>
            <a:rPr kumimoji="1" lang="ja-JP" altLang="en-US" sz="1100">
              <a:latin typeface="BIZ UDPゴシック" panose="020B0400000000000000" pitchFamily="50" charset="-128"/>
              <a:ea typeface="BIZ UDPゴシック" panose="020B0400000000000000" pitchFamily="50" charset="-128"/>
            </a:rPr>
            <a:t>ア　現状ポイント</a:t>
          </a:r>
        </a:p>
        <a:p>
          <a:pPr algn="l"/>
          <a:r>
            <a:rPr kumimoji="1" lang="ja-JP" altLang="en-US" sz="1100">
              <a:latin typeface="BIZ UDPゴシック" panose="020B0400000000000000" pitchFamily="50" charset="-128"/>
              <a:ea typeface="BIZ UDPゴシック" panose="020B0400000000000000" pitchFamily="50" charset="-128"/>
            </a:rPr>
            <a:t>　</a:t>
          </a:r>
          <a:r>
            <a:rPr kumimoji="1" lang="ja-JP" altLang="en-US" sz="1100" u="sng">
              <a:latin typeface="BIZ UDPゴシック" panose="020B0400000000000000" pitchFamily="50" charset="-128"/>
              <a:ea typeface="BIZ UDPゴシック" panose="020B0400000000000000" pitchFamily="50" charset="-128"/>
            </a:rPr>
            <a:t>ａ　</a:t>
          </a:r>
          <a:r>
            <a:rPr kumimoji="1" lang="en-US" altLang="ja-JP" sz="1100" u="sng">
              <a:latin typeface="BIZ UDPゴシック" panose="020B0400000000000000" pitchFamily="50" charset="-128"/>
              <a:ea typeface="BIZ UDPゴシック" panose="020B0400000000000000" pitchFamily="50" charset="-128"/>
            </a:rPr>
            <a:t>300</a:t>
          </a:r>
          <a:r>
            <a:rPr kumimoji="1" lang="ja-JP" altLang="en-US" sz="1100" u="sng">
              <a:latin typeface="BIZ UDPゴシック" panose="020B0400000000000000" pitchFamily="50" charset="-128"/>
              <a:ea typeface="BIZ UDPゴシック" panose="020B0400000000000000" pitchFamily="50" charset="-128"/>
            </a:rPr>
            <a:t>万円以上　１点</a:t>
          </a:r>
          <a:endParaRPr kumimoji="1" lang="en-US" altLang="ja-JP" sz="1100" u="sng">
            <a:latin typeface="BIZ UDPゴシック" panose="020B0400000000000000" pitchFamily="50" charset="-128"/>
            <a:ea typeface="BIZ UDPゴシック" panose="020B0400000000000000" pitchFamily="50" charset="-128"/>
          </a:endParaRPr>
        </a:p>
        <a:p>
          <a:pPr algn="l"/>
          <a:r>
            <a:rPr kumimoji="1" lang="ja-JP" altLang="en-US" sz="1100" u="none">
              <a:latin typeface="BIZ UDPゴシック" panose="020B0400000000000000" pitchFamily="50" charset="-128"/>
              <a:ea typeface="BIZ UDPゴシック" panose="020B0400000000000000" pitchFamily="50" charset="-128"/>
            </a:rPr>
            <a:t>　</a:t>
          </a:r>
          <a:r>
            <a:rPr kumimoji="1" lang="ja-JP" altLang="en-US" sz="1100" u="sng">
              <a:latin typeface="BIZ UDPゴシック" panose="020B0400000000000000" pitchFamily="50" charset="-128"/>
              <a:ea typeface="BIZ UDPゴシック" panose="020B0400000000000000" pitchFamily="50" charset="-128"/>
            </a:rPr>
            <a:t>ｂ　</a:t>
          </a:r>
          <a:r>
            <a:rPr kumimoji="1" lang="en-US" altLang="ja-JP" sz="1100" u="sng">
              <a:latin typeface="BIZ UDPゴシック" panose="020B0400000000000000" pitchFamily="50" charset="-128"/>
              <a:ea typeface="BIZ UDPゴシック" panose="020B0400000000000000" pitchFamily="50" charset="-128"/>
            </a:rPr>
            <a:t>600</a:t>
          </a:r>
          <a:r>
            <a:rPr kumimoji="1" lang="ja-JP" altLang="en-US" sz="1100" u="sng">
              <a:latin typeface="BIZ UDPゴシック" panose="020B0400000000000000" pitchFamily="50" charset="-128"/>
              <a:ea typeface="BIZ UDPゴシック" panose="020B0400000000000000" pitchFamily="50" charset="-128"/>
            </a:rPr>
            <a:t>万円以上　２点</a:t>
          </a:r>
          <a:endParaRPr kumimoji="1" lang="en-US" altLang="ja-JP" sz="1100" u="sng">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123825</xdr:colOff>
      <xdr:row>1</xdr:row>
      <xdr:rowOff>161924</xdr:rowOff>
    </xdr:to>
    <xdr:sp macro="" textlink="">
      <xdr:nvSpPr>
        <xdr:cNvPr id="2" name="正方形/長方形 1"/>
        <xdr:cNvSpPr/>
      </xdr:nvSpPr>
      <xdr:spPr>
        <a:xfrm>
          <a:off x="0" y="0"/>
          <a:ext cx="933450" cy="400049"/>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記載例</a:t>
          </a:r>
          <a:endParaRPr kumimoji="1" lang="en-US" altLang="ja-JP" sz="16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126173</xdr:colOff>
      <xdr:row>0</xdr:row>
      <xdr:rowOff>107620</xdr:rowOff>
    </xdr:from>
    <xdr:to>
      <xdr:col>2</xdr:col>
      <xdr:colOff>1059623</xdr:colOff>
      <xdr:row>2</xdr:row>
      <xdr:rowOff>92033</xdr:rowOff>
    </xdr:to>
    <xdr:sp macro="" textlink="">
      <xdr:nvSpPr>
        <xdr:cNvPr id="2" name="正方形/長方形 1"/>
        <xdr:cNvSpPr/>
      </xdr:nvSpPr>
      <xdr:spPr>
        <a:xfrm>
          <a:off x="1719446" y="107620"/>
          <a:ext cx="933450" cy="400049"/>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記載例</a:t>
          </a:r>
          <a:endParaRPr kumimoji="1" lang="en-US" altLang="ja-JP" sz="16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285750</xdr:colOff>
      <xdr:row>1</xdr:row>
      <xdr:rowOff>0</xdr:rowOff>
    </xdr:from>
    <xdr:to>
      <xdr:col>10</xdr:col>
      <xdr:colOff>2238377</xdr:colOff>
      <xdr:row>4</xdr:row>
      <xdr:rowOff>9525</xdr:rowOff>
    </xdr:to>
    <xdr:sp macro="" textlink="">
      <xdr:nvSpPr>
        <xdr:cNvPr id="2" name="テキスト ボックス 1"/>
        <xdr:cNvSpPr txBox="1"/>
      </xdr:nvSpPr>
      <xdr:spPr>
        <a:xfrm>
          <a:off x="7067550" y="171450"/>
          <a:ext cx="1952627" cy="64770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endParaRPr kumimoji="1" lang="en-US" altLang="ja-JP" sz="1200" b="1">
            <a:solidFill>
              <a:srgbClr val="FF0000"/>
            </a:solidFill>
            <a:latin typeface="+mn-ea"/>
            <a:ea typeface="+mn-ea"/>
          </a:endParaRPr>
        </a:p>
        <a:p>
          <a:pPr algn="ctr"/>
          <a:r>
            <a:rPr kumimoji="1" lang="ja-JP" altLang="en-US" sz="800" b="1">
              <a:solidFill>
                <a:srgbClr val="FF0000"/>
              </a:solidFill>
              <a:latin typeface="+mn-ea"/>
              <a:ea typeface="+mn-ea"/>
            </a:rPr>
            <a:t>（水稲</a:t>
          </a:r>
          <a:r>
            <a:rPr kumimoji="1" lang="en-US" altLang="ja-JP" sz="800" b="1">
              <a:solidFill>
                <a:srgbClr val="FF0000"/>
              </a:solidFill>
              <a:latin typeface="+mn-ea"/>
              <a:ea typeface="+mn-ea"/>
            </a:rPr>
            <a:t>+</a:t>
          </a:r>
          <a:r>
            <a:rPr kumimoji="1" lang="ja-JP" altLang="en-US" sz="800" b="1">
              <a:solidFill>
                <a:srgbClr val="FF0000"/>
              </a:solidFill>
              <a:latin typeface="+mn-ea"/>
              <a:ea typeface="+mn-ea"/>
            </a:rPr>
            <a:t>だいこん経営</a:t>
          </a:r>
          <a:endParaRPr kumimoji="1" lang="en-US" altLang="ja-JP" sz="800" b="1">
            <a:solidFill>
              <a:srgbClr val="FF0000"/>
            </a:solidFill>
            <a:latin typeface="+mn-ea"/>
            <a:ea typeface="+mn-ea"/>
          </a:endParaRPr>
        </a:p>
        <a:p>
          <a:pPr algn="ctr"/>
          <a:r>
            <a:rPr kumimoji="1" lang="ja-JP" altLang="en-US" sz="800" b="1">
              <a:solidFill>
                <a:srgbClr val="FF0000"/>
              </a:solidFill>
              <a:latin typeface="+mn-ea"/>
              <a:ea typeface="+mn-ea"/>
            </a:rPr>
            <a:t>の者が水稲の規模拡大を図る場合）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4_&#29987;&#26989;&#32076;&#28168;&#35506;&#65288;&#26032;&#65289;/00_&#36786;&#25919;&#12464;&#12523;&#12540;&#12503;/16_&#36786;&#30044;&#29987;&#29289;&#12398;&#29983;&#29987;&#12289;&#27969;&#36890;&#23550;&#31574;&#12289;6&#27425;&#29987;&#26989;&#21270;/04_03_&#36786;&#22320;&#21033;&#29992;&#21177;&#29575;&#31561;&#25903;&#25588;&#20132;&#20184;&#37329;&#20107;&#26989;&#65288;&#32076;&#21942;&#20307;&#24460;&#36523;&#65289;&#12304;R4&#65374;&#12305;/R07_&#36786;&#22320;&#21033;&#29992;&#21177;&#29575;&#21270;&#31561;&#25903;&#25588;&#20132;&#20184;&#37329;(R7&#24403;&#21021;)/1.&#35201;&#26395;/01.&#36947;&#36890;&#30693;/01-11&#65288;&#21442;&#32771;&#36039;&#26009;&#65297;&#65289;&#25104;&#26524;&#30446;&#27161;&#12398;&#26681;&#25312;&#36039;&#26009;&#20316;&#25104;&#20363;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販売計画"/>
      <sheetName val="収支計画"/>
      <sheetName val="付加価値額計画"/>
    </sheetNames>
    <sheetDataSet>
      <sheetData sheetId="0">
        <row r="5">
          <cell r="D5">
            <v>1590</v>
          </cell>
        </row>
        <row r="7">
          <cell r="D7">
            <v>67098</v>
          </cell>
        </row>
        <row r="9">
          <cell r="D9">
            <v>12211836</v>
          </cell>
        </row>
        <row r="14">
          <cell r="D14">
            <v>3346560</v>
          </cell>
        </row>
      </sheetData>
      <sheetData sheetId="1">
        <row r="7">
          <cell r="D7">
            <v>182160</v>
          </cell>
        </row>
        <row r="8">
          <cell r="D8">
            <v>1612625</v>
          </cell>
        </row>
        <row r="9">
          <cell r="D9">
            <v>0</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33"/>
  <sheetViews>
    <sheetView zoomScale="85" zoomScaleNormal="85" workbookViewId="0">
      <selection activeCell="O24" sqref="O24"/>
    </sheetView>
  </sheetViews>
  <sheetFormatPr defaultRowHeight="13.5"/>
  <cols>
    <col min="1" max="1" width="8.75" customWidth="1"/>
    <col min="2" max="2" width="14.5" customWidth="1"/>
    <col min="3" max="3" width="17" customWidth="1"/>
    <col min="4" max="4" width="4.375" customWidth="1"/>
    <col min="6" max="6" width="15.125" customWidth="1"/>
    <col min="7" max="7" width="18.25" customWidth="1"/>
    <col min="8" max="8" width="4" customWidth="1"/>
    <col min="9" max="9" width="11.5" customWidth="1"/>
    <col min="10" max="10" width="8.375" customWidth="1"/>
    <col min="11" max="11" width="12.75" customWidth="1"/>
    <col min="15" max="15" width="38.125" customWidth="1"/>
  </cols>
  <sheetData>
    <row r="1" spans="1:12">
      <c r="A1" s="301" t="s">
        <v>220</v>
      </c>
      <c r="B1" s="301"/>
      <c r="C1" s="301"/>
      <c r="D1" s="301"/>
      <c r="E1" s="301"/>
      <c r="F1" s="301"/>
      <c r="G1" s="301"/>
    </row>
    <row r="2" spans="1:12">
      <c r="A2" s="301"/>
      <c r="B2" s="301"/>
      <c r="C2" s="301"/>
      <c r="D2" s="301"/>
      <c r="E2" s="301"/>
      <c r="F2" s="301"/>
      <c r="G2" s="301"/>
      <c r="L2" s="200"/>
    </row>
    <row r="3" spans="1:12">
      <c r="A3" t="s">
        <v>257</v>
      </c>
    </row>
    <row r="4" spans="1:12">
      <c r="I4" s="303" t="s">
        <v>259</v>
      </c>
      <c r="J4" s="303"/>
      <c r="K4" s="303"/>
      <c r="L4" s="303"/>
    </row>
    <row r="5" spans="1:12">
      <c r="A5" s="202" t="s">
        <v>221</v>
      </c>
      <c r="I5" s="303"/>
      <c r="J5" s="303"/>
      <c r="K5" s="303"/>
      <c r="L5" s="303"/>
    </row>
    <row r="6" spans="1:12" ht="21.75" customHeight="1">
      <c r="A6" s="203" t="s">
        <v>244</v>
      </c>
      <c r="B6" s="203"/>
      <c r="C6" s="204" t="s">
        <v>225</v>
      </c>
      <c r="E6" s="203" t="s">
        <v>232</v>
      </c>
      <c r="F6" s="203"/>
      <c r="G6" s="203" t="s">
        <v>225</v>
      </c>
      <c r="I6" s="211" t="s">
        <v>239</v>
      </c>
      <c r="K6" t="s">
        <v>247</v>
      </c>
      <c r="L6" t="s">
        <v>248</v>
      </c>
    </row>
    <row r="7" spans="1:12" ht="21.75" customHeight="1">
      <c r="A7" s="203" t="s">
        <v>227</v>
      </c>
      <c r="B7" s="203" t="s">
        <v>222</v>
      </c>
      <c r="C7" s="214"/>
      <c r="E7" s="203" t="s">
        <v>227</v>
      </c>
      <c r="F7" s="203" t="s">
        <v>222</v>
      </c>
      <c r="G7" s="214"/>
      <c r="I7" s="235" t="s">
        <v>240</v>
      </c>
      <c r="J7" s="236"/>
      <c r="K7" s="217">
        <f>C10</f>
        <v>0</v>
      </c>
      <c r="L7" s="222"/>
    </row>
    <row r="8" spans="1:12" ht="21.75" customHeight="1">
      <c r="A8" s="203" t="s">
        <v>228</v>
      </c>
      <c r="B8" s="203" t="s">
        <v>223</v>
      </c>
      <c r="C8" s="214"/>
      <c r="E8" s="203" t="s">
        <v>228</v>
      </c>
      <c r="F8" s="203" t="s">
        <v>223</v>
      </c>
      <c r="G8" s="214"/>
      <c r="I8" s="237" t="s">
        <v>241</v>
      </c>
      <c r="J8" s="238"/>
      <c r="K8" s="302" t="e">
        <f>(G10-C10)/C10</f>
        <v>#DIV/0!</v>
      </c>
      <c r="L8" s="234"/>
    </row>
    <row r="9" spans="1:12" ht="21.75" customHeight="1" thickBot="1">
      <c r="A9" s="205" t="s">
        <v>229</v>
      </c>
      <c r="B9" s="205" t="s">
        <v>224</v>
      </c>
      <c r="C9" s="215"/>
      <c r="D9" s="212" t="s">
        <v>231</v>
      </c>
      <c r="E9" s="205" t="s">
        <v>229</v>
      </c>
      <c r="F9" s="205" t="s">
        <v>224</v>
      </c>
      <c r="G9" s="215"/>
      <c r="I9" s="239" t="s">
        <v>242</v>
      </c>
      <c r="J9" s="240"/>
      <c r="K9" s="218">
        <f>G10-C10</f>
        <v>0</v>
      </c>
      <c r="L9" s="223"/>
    </row>
    <row r="10" spans="1:12" ht="21.75" customHeight="1" thickBot="1">
      <c r="A10" s="206" t="s">
        <v>230</v>
      </c>
      <c r="B10" s="207" t="s">
        <v>226</v>
      </c>
      <c r="C10" s="216">
        <f>C7-C8+C9</f>
        <v>0</v>
      </c>
      <c r="E10" s="206" t="s">
        <v>230</v>
      </c>
      <c r="F10" s="207" t="s">
        <v>226</v>
      </c>
      <c r="G10" s="216">
        <f>G7-G8+G9</f>
        <v>0</v>
      </c>
      <c r="I10" s="201"/>
      <c r="J10" s="201"/>
    </row>
    <row r="11" spans="1:12" ht="21.75" customHeight="1" thickBot="1">
      <c r="I11" s="213" t="s">
        <v>243</v>
      </c>
      <c r="J11" s="201"/>
    </row>
    <row r="12" spans="1:12" ht="34.5" customHeight="1" thickBot="1">
      <c r="A12" s="208"/>
      <c r="B12" s="209" t="s">
        <v>245</v>
      </c>
      <c r="C12" s="210"/>
      <c r="E12" s="208"/>
      <c r="F12" s="209" t="s">
        <v>246</v>
      </c>
      <c r="G12" s="210"/>
      <c r="I12" s="241" t="s">
        <v>260</v>
      </c>
      <c r="J12" s="241"/>
      <c r="K12" s="215"/>
    </row>
    <row r="13" spans="1:12">
      <c r="I13" s="220" t="s">
        <v>249</v>
      </c>
      <c r="J13" s="221"/>
      <c r="K13" s="233">
        <f>(G12-C12)/100</f>
        <v>0</v>
      </c>
      <c r="L13" s="234"/>
    </row>
    <row r="15" spans="1:12" ht="29.25" customHeight="1">
      <c r="I15" s="242" t="s">
        <v>256</v>
      </c>
      <c r="J15" s="242"/>
      <c r="K15" s="242"/>
      <c r="L15" s="219"/>
    </row>
    <row r="16" spans="1:12">
      <c r="I16" s="300" t="s">
        <v>258</v>
      </c>
      <c r="J16" s="300"/>
      <c r="K16" s="300"/>
      <c r="L16" s="300"/>
    </row>
    <row r="17" spans="1:12">
      <c r="I17" s="300"/>
      <c r="J17" s="300"/>
      <c r="K17" s="300"/>
      <c r="L17" s="300"/>
    </row>
    <row r="18" spans="1:12">
      <c r="A18" s="224"/>
      <c r="B18" s="225"/>
      <c r="C18" s="225"/>
      <c r="D18" s="225"/>
      <c r="E18" s="225"/>
      <c r="F18" s="225"/>
      <c r="G18" s="225"/>
      <c r="H18" s="225"/>
      <c r="I18" s="225"/>
      <c r="J18" s="225"/>
      <c r="K18" s="225"/>
      <c r="L18" s="226"/>
    </row>
    <row r="19" spans="1:12">
      <c r="A19" s="227"/>
      <c r="B19" s="228"/>
      <c r="C19" s="228"/>
      <c r="D19" s="228"/>
      <c r="E19" s="228"/>
      <c r="F19" s="228"/>
      <c r="G19" s="228"/>
      <c r="H19" s="228"/>
      <c r="I19" s="228"/>
      <c r="J19" s="228"/>
      <c r="K19" s="228"/>
      <c r="L19" s="229"/>
    </row>
    <row r="20" spans="1:12">
      <c r="A20" s="227"/>
      <c r="B20" s="228"/>
      <c r="C20" s="228"/>
      <c r="D20" s="228"/>
      <c r="E20" s="228"/>
      <c r="F20" s="228"/>
      <c r="G20" s="228"/>
      <c r="H20" s="228"/>
      <c r="I20" s="228"/>
      <c r="J20" s="228"/>
      <c r="K20" s="228"/>
      <c r="L20" s="229"/>
    </row>
    <row r="21" spans="1:12">
      <c r="A21" s="227"/>
      <c r="B21" s="228"/>
      <c r="C21" s="228"/>
      <c r="D21" s="228"/>
      <c r="E21" s="228"/>
      <c r="F21" s="228"/>
      <c r="G21" s="228"/>
      <c r="H21" s="228"/>
      <c r="I21" s="228"/>
      <c r="J21" s="228"/>
      <c r="K21" s="228"/>
      <c r="L21" s="229"/>
    </row>
    <row r="22" spans="1:12">
      <c r="A22" s="227"/>
      <c r="B22" s="228"/>
      <c r="C22" s="228"/>
      <c r="D22" s="228"/>
      <c r="E22" s="228"/>
      <c r="F22" s="228"/>
      <c r="G22" s="228"/>
      <c r="H22" s="228"/>
      <c r="I22" s="228"/>
      <c r="J22" s="228"/>
      <c r="K22" s="228"/>
      <c r="L22" s="229"/>
    </row>
    <row r="23" spans="1:12">
      <c r="A23" s="227"/>
      <c r="B23" s="228"/>
      <c r="C23" s="228"/>
      <c r="D23" s="228"/>
      <c r="E23" s="228"/>
      <c r="F23" s="228"/>
      <c r="G23" s="228"/>
      <c r="H23" s="228"/>
      <c r="I23" s="228"/>
      <c r="J23" s="228"/>
      <c r="K23" s="228"/>
      <c r="L23" s="229"/>
    </row>
    <row r="24" spans="1:12">
      <c r="A24" s="227"/>
      <c r="B24" s="228"/>
      <c r="C24" s="228"/>
      <c r="D24" s="228"/>
      <c r="E24" s="228"/>
      <c r="F24" s="228"/>
      <c r="G24" s="228"/>
      <c r="H24" s="228"/>
      <c r="I24" s="228"/>
      <c r="J24" s="228"/>
      <c r="K24" s="228"/>
      <c r="L24" s="229"/>
    </row>
    <row r="25" spans="1:12">
      <c r="A25" s="227"/>
      <c r="B25" s="228"/>
      <c r="C25" s="228"/>
      <c r="D25" s="228"/>
      <c r="E25" s="228"/>
      <c r="F25" s="228"/>
      <c r="G25" s="228"/>
      <c r="H25" s="228"/>
      <c r="I25" s="228"/>
      <c r="J25" s="228"/>
      <c r="K25" s="228"/>
      <c r="L25" s="229"/>
    </row>
    <row r="26" spans="1:12">
      <c r="A26" s="227"/>
      <c r="B26" s="228"/>
      <c r="C26" s="228"/>
      <c r="D26" s="228"/>
      <c r="E26" s="228"/>
      <c r="F26" s="228"/>
      <c r="G26" s="228"/>
      <c r="H26" s="228"/>
      <c r="I26" s="228"/>
      <c r="J26" s="228"/>
      <c r="K26" s="228"/>
      <c r="L26" s="229"/>
    </row>
    <row r="27" spans="1:12">
      <c r="A27" s="227"/>
      <c r="B27" s="228"/>
      <c r="C27" s="228"/>
      <c r="D27" s="228"/>
      <c r="E27" s="228"/>
      <c r="F27" s="228"/>
      <c r="G27" s="228"/>
      <c r="H27" s="228"/>
      <c r="I27" s="228"/>
      <c r="J27" s="228"/>
      <c r="K27" s="228"/>
      <c r="L27" s="229"/>
    </row>
    <row r="28" spans="1:12">
      <c r="A28" s="227"/>
      <c r="B28" s="228"/>
      <c r="C28" s="228"/>
      <c r="D28" s="228"/>
      <c r="E28" s="228"/>
      <c r="F28" s="228"/>
      <c r="G28" s="228"/>
      <c r="H28" s="228"/>
      <c r="I28" s="228"/>
      <c r="J28" s="228"/>
      <c r="K28" s="228"/>
      <c r="L28" s="229"/>
    </row>
    <row r="29" spans="1:12">
      <c r="A29" s="227"/>
      <c r="B29" s="228"/>
      <c r="C29" s="228"/>
      <c r="D29" s="228"/>
      <c r="E29" s="228"/>
      <c r="F29" s="228"/>
      <c r="G29" s="228"/>
      <c r="H29" s="228"/>
      <c r="I29" s="228"/>
      <c r="J29" s="228"/>
      <c r="K29" s="228"/>
      <c r="L29" s="229"/>
    </row>
    <row r="30" spans="1:12">
      <c r="A30" s="227"/>
      <c r="B30" s="228"/>
      <c r="C30" s="228"/>
      <c r="D30" s="228"/>
      <c r="E30" s="228"/>
      <c r="F30" s="228"/>
      <c r="G30" s="228"/>
      <c r="H30" s="228"/>
      <c r="I30" s="228"/>
      <c r="J30" s="228"/>
      <c r="K30" s="228"/>
      <c r="L30" s="229"/>
    </row>
    <row r="31" spans="1:12">
      <c r="A31" s="227"/>
      <c r="B31" s="228"/>
      <c r="C31" s="228"/>
      <c r="D31" s="228"/>
      <c r="E31" s="228"/>
      <c r="F31" s="228"/>
      <c r="G31" s="228"/>
      <c r="H31" s="228"/>
      <c r="I31" s="228"/>
      <c r="J31" s="228"/>
      <c r="K31" s="228"/>
      <c r="L31" s="229"/>
    </row>
    <row r="32" spans="1:12">
      <c r="A32" s="227"/>
      <c r="B32" s="228"/>
      <c r="C32" s="228"/>
      <c r="D32" s="228"/>
      <c r="E32" s="228"/>
      <c r="F32" s="228"/>
      <c r="G32" s="228"/>
      <c r="H32" s="228"/>
      <c r="I32" s="228"/>
      <c r="J32" s="228"/>
      <c r="K32" s="228"/>
      <c r="L32" s="229"/>
    </row>
    <row r="33" spans="1:12">
      <c r="A33" s="230"/>
      <c r="B33" s="231"/>
      <c r="C33" s="231"/>
      <c r="D33" s="231"/>
      <c r="E33" s="231"/>
      <c r="F33" s="231"/>
      <c r="G33" s="231"/>
      <c r="H33" s="231"/>
      <c r="I33" s="231"/>
      <c r="J33" s="231"/>
      <c r="K33" s="231"/>
      <c r="L33" s="232"/>
    </row>
  </sheetData>
  <mergeCells count="8">
    <mergeCell ref="I16:L17"/>
    <mergeCell ref="A1:G2"/>
    <mergeCell ref="I4:L5"/>
    <mergeCell ref="I7:J7"/>
    <mergeCell ref="I8:J8"/>
    <mergeCell ref="I9:J9"/>
    <mergeCell ref="I12:J12"/>
    <mergeCell ref="I15:K15"/>
  </mergeCells>
  <phoneticPr fontId="1"/>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L52"/>
  <sheetViews>
    <sheetView view="pageBreakPreview" zoomScaleNormal="100" zoomScaleSheetLayoutView="100" workbookViewId="0">
      <selection sqref="A1:L1"/>
    </sheetView>
  </sheetViews>
  <sheetFormatPr defaultColWidth="9" defaultRowHeight="13.5"/>
  <cols>
    <col min="1" max="1" width="10.625" style="2" customWidth="1"/>
    <col min="2" max="2" width="9.625" style="2" customWidth="1"/>
    <col min="3" max="3" width="8.25" style="2" bestFit="1" customWidth="1"/>
    <col min="4" max="4" width="10.625" style="2" customWidth="1"/>
    <col min="5" max="5" width="6.625" style="2" customWidth="1"/>
    <col min="6" max="6" width="10.625" style="2" customWidth="1"/>
    <col min="7" max="7" width="6.625" style="2" customWidth="1"/>
    <col min="8" max="8" width="10.625" style="2" customWidth="1"/>
    <col min="9" max="9" width="6.625" style="2" customWidth="1"/>
    <col min="10" max="10" width="10.625" style="2" customWidth="1"/>
    <col min="11" max="11" width="6.625" style="2" customWidth="1"/>
    <col min="12" max="12" width="15.625" style="2" customWidth="1"/>
    <col min="13" max="16384" width="9" style="2"/>
  </cols>
  <sheetData>
    <row r="1" spans="1:12" ht="18.75">
      <c r="A1" s="243" t="s">
        <v>261</v>
      </c>
      <c r="B1" s="243"/>
      <c r="C1" s="243"/>
      <c r="D1" s="243"/>
      <c r="E1" s="243"/>
      <c r="F1" s="243"/>
      <c r="G1" s="243"/>
      <c r="H1" s="243"/>
      <c r="I1" s="243"/>
      <c r="J1" s="243"/>
      <c r="K1" s="243"/>
      <c r="L1" s="243"/>
    </row>
    <row r="2" spans="1:12">
      <c r="G2" s="3"/>
    </row>
    <row r="3" spans="1:12">
      <c r="A3" s="2" t="s">
        <v>3</v>
      </c>
      <c r="G3" s="3"/>
    </row>
    <row r="4" spans="1:12">
      <c r="A4" s="140" t="s">
        <v>159</v>
      </c>
      <c r="B4" s="258" t="s">
        <v>83</v>
      </c>
      <c r="C4" s="258"/>
      <c r="D4" s="254" t="s">
        <v>41</v>
      </c>
      <c r="E4" s="254"/>
      <c r="F4" s="254" t="s">
        <v>178</v>
      </c>
      <c r="G4" s="254"/>
      <c r="H4" s="254" t="s">
        <v>179</v>
      </c>
      <c r="I4" s="254"/>
      <c r="J4" s="254" t="s">
        <v>182</v>
      </c>
      <c r="K4" s="254"/>
      <c r="L4" s="140" t="s">
        <v>154</v>
      </c>
    </row>
    <row r="5" spans="1:12">
      <c r="A5" s="255"/>
      <c r="B5" s="152" t="s">
        <v>5</v>
      </c>
      <c r="C5" s="155" t="s">
        <v>6</v>
      </c>
      <c r="D5" s="5"/>
      <c r="E5" s="36" t="s">
        <v>0</v>
      </c>
      <c r="F5" s="5"/>
      <c r="G5" s="36" t="s">
        <v>0</v>
      </c>
      <c r="H5" s="5"/>
      <c r="I5" s="36" t="s">
        <v>0</v>
      </c>
      <c r="J5" s="5"/>
      <c r="K5" s="36" t="s">
        <v>0</v>
      </c>
      <c r="L5" s="246" t="s">
        <v>166</v>
      </c>
    </row>
    <row r="6" spans="1:12">
      <c r="A6" s="252"/>
      <c r="B6" s="153" t="s">
        <v>7</v>
      </c>
      <c r="C6" s="156" t="s">
        <v>8</v>
      </c>
      <c r="D6" s="6"/>
      <c r="E6" s="7" t="s">
        <v>9</v>
      </c>
      <c r="F6" s="6"/>
      <c r="G6" s="7" t="s">
        <v>9</v>
      </c>
      <c r="H6" s="6"/>
      <c r="I6" s="7" t="s">
        <v>9</v>
      </c>
      <c r="J6" s="6"/>
      <c r="K6" s="7" t="s">
        <v>9</v>
      </c>
      <c r="L6" s="247"/>
    </row>
    <row r="7" spans="1:12">
      <c r="A7" s="252"/>
      <c r="B7" s="153" t="s">
        <v>10</v>
      </c>
      <c r="C7" s="156" t="s">
        <v>155</v>
      </c>
      <c r="D7" s="6"/>
      <c r="E7" s="7" t="s">
        <v>11</v>
      </c>
      <c r="F7" s="6"/>
      <c r="G7" s="7" t="s">
        <v>11</v>
      </c>
      <c r="H7" s="6"/>
      <c r="I7" s="7" t="s">
        <v>11</v>
      </c>
      <c r="J7" s="6"/>
      <c r="K7" s="7" t="s">
        <v>11</v>
      </c>
      <c r="L7" s="247"/>
    </row>
    <row r="8" spans="1:12">
      <c r="A8" s="252"/>
      <c r="B8" s="153" t="s">
        <v>12</v>
      </c>
      <c r="C8" s="156" t="s">
        <v>13</v>
      </c>
      <c r="D8" s="6"/>
      <c r="E8" s="7" t="s">
        <v>14</v>
      </c>
      <c r="F8" s="6"/>
      <c r="G8" s="7" t="s">
        <v>14</v>
      </c>
      <c r="H8" s="6"/>
      <c r="I8" s="7" t="s">
        <v>14</v>
      </c>
      <c r="J8" s="6"/>
      <c r="K8" s="7" t="s">
        <v>14</v>
      </c>
      <c r="L8" s="247"/>
    </row>
    <row r="9" spans="1:12">
      <c r="A9" s="253"/>
      <c r="B9" s="154" t="s">
        <v>15</v>
      </c>
      <c r="C9" s="157" t="s">
        <v>16</v>
      </c>
      <c r="D9" s="8"/>
      <c r="E9" s="9" t="s">
        <v>17</v>
      </c>
      <c r="F9" s="8"/>
      <c r="G9" s="9" t="s">
        <v>17</v>
      </c>
      <c r="H9" s="8"/>
      <c r="I9" s="9" t="s">
        <v>17</v>
      </c>
      <c r="J9" s="8"/>
      <c r="K9" s="9" t="s">
        <v>17</v>
      </c>
      <c r="L9" s="248"/>
    </row>
    <row r="10" spans="1:12">
      <c r="A10" s="255"/>
      <c r="B10" s="152" t="s">
        <v>5</v>
      </c>
      <c r="C10" s="155" t="s">
        <v>61</v>
      </c>
      <c r="D10" s="5"/>
      <c r="E10" s="36" t="s">
        <v>56</v>
      </c>
      <c r="F10" s="5"/>
      <c r="G10" s="36" t="s">
        <v>56</v>
      </c>
      <c r="H10" s="5"/>
      <c r="I10" s="36" t="s">
        <v>56</v>
      </c>
      <c r="J10" s="5"/>
      <c r="K10" s="36" t="s">
        <v>56</v>
      </c>
      <c r="L10" s="246" t="s">
        <v>156</v>
      </c>
    </row>
    <row r="11" spans="1:12">
      <c r="A11" s="252"/>
      <c r="B11" s="153" t="s">
        <v>7</v>
      </c>
      <c r="C11" s="156" t="s">
        <v>62</v>
      </c>
      <c r="D11" s="6"/>
      <c r="E11" s="7" t="s">
        <v>57</v>
      </c>
      <c r="F11" s="6"/>
      <c r="G11" s="7" t="s">
        <v>57</v>
      </c>
      <c r="H11" s="6"/>
      <c r="I11" s="7" t="s">
        <v>57</v>
      </c>
      <c r="J11" s="6"/>
      <c r="K11" s="7" t="s">
        <v>57</v>
      </c>
      <c r="L11" s="247"/>
    </row>
    <row r="12" spans="1:12">
      <c r="A12" s="252"/>
      <c r="B12" s="153" t="s">
        <v>10</v>
      </c>
      <c r="C12" s="156" t="s">
        <v>155</v>
      </c>
      <c r="D12" s="6"/>
      <c r="E12" s="7" t="s">
        <v>58</v>
      </c>
      <c r="F12" s="6"/>
      <c r="G12" s="7" t="s">
        <v>58</v>
      </c>
      <c r="H12" s="6"/>
      <c r="I12" s="7" t="s">
        <v>58</v>
      </c>
      <c r="J12" s="6"/>
      <c r="K12" s="7" t="s">
        <v>58</v>
      </c>
      <c r="L12" s="247"/>
    </row>
    <row r="13" spans="1:12">
      <c r="A13" s="252"/>
      <c r="B13" s="153" t="s">
        <v>12</v>
      </c>
      <c r="C13" s="156" t="s">
        <v>63</v>
      </c>
      <c r="D13" s="6"/>
      <c r="E13" s="7" t="s">
        <v>59</v>
      </c>
      <c r="F13" s="6"/>
      <c r="G13" s="7" t="s">
        <v>59</v>
      </c>
      <c r="H13" s="6"/>
      <c r="I13" s="7" t="s">
        <v>59</v>
      </c>
      <c r="J13" s="6"/>
      <c r="K13" s="7" t="s">
        <v>59</v>
      </c>
      <c r="L13" s="247"/>
    </row>
    <row r="14" spans="1:12">
      <c r="A14" s="253"/>
      <c r="B14" s="154" t="s">
        <v>15</v>
      </c>
      <c r="C14" s="157" t="s">
        <v>64</v>
      </c>
      <c r="D14" s="8"/>
      <c r="E14" s="9" t="s">
        <v>60</v>
      </c>
      <c r="F14" s="8"/>
      <c r="G14" s="9" t="s">
        <v>60</v>
      </c>
      <c r="H14" s="8"/>
      <c r="I14" s="9" t="s">
        <v>60</v>
      </c>
      <c r="J14" s="8"/>
      <c r="K14" s="9" t="s">
        <v>60</v>
      </c>
      <c r="L14" s="248"/>
    </row>
    <row r="15" spans="1:12">
      <c r="A15" s="255"/>
      <c r="B15" s="152" t="s">
        <v>5</v>
      </c>
      <c r="C15" s="155" t="s">
        <v>18</v>
      </c>
      <c r="D15" s="5"/>
      <c r="E15" s="36" t="s">
        <v>0</v>
      </c>
      <c r="F15" s="5"/>
      <c r="G15" s="36" t="s">
        <v>0</v>
      </c>
      <c r="H15" s="5"/>
      <c r="I15" s="36" t="s">
        <v>0</v>
      </c>
      <c r="J15" s="5"/>
      <c r="K15" s="36" t="s">
        <v>0</v>
      </c>
      <c r="L15" s="246"/>
    </row>
    <row r="16" spans="1:12">
      <c r="A16" s="252"/>
      <c r="B16" s="153" t="s">
        <v>7</v>
      </c>
      <c r="C16" s="156" t="s">
        <v>19</v>
      </c>
      <c r="D16" s="6"/>
      <c r="E16" s="7" t="s">
        <v>9</v>
      </c>
      <c r="F16" s="6"/>
      <c r="G16" s="7" t="s">
        <v>9</v>
      </c>
      <c r="H16" s="6"/>
      <c r="I16" s="7" t="s">
        <v>9</v>
      </c>
      <c r="J16" s="6"/>
      <c r="K16" s="7" t="s">
        <v>9</v>
      </c>
      <c r="L16" s="247"/>
    </row>
    <row r="17" spans="1:12">
      <c r="A17" s="252"/>
      <c r="B17" s="153" t="s">
        <v>10</v>
      </c>
      <c r="C17" s="156" t="s">
        <v>155</v>
      </c>
      <c r="D17" s="6"/>
      <c r="E17" s="7" t="s">
        <v>11</v>
      </c>
      <c r="F17" s="6"/>
      <c r="G17" s="7" t="s">
        <v>11</v>
      </c>
      <c r="H17" s="6"/>
      <c r="I17" s="7" t="s">
        <v>11</v>
      </c>
      <c r="J17" s="6"/>
      <c r="K17" s="7" t="s">
        <v>11</v>
      </c>
      <c r="L17" s="247"/>
    </row>
    <row r="18" spans="1:12">
      <c r="A18" s="252"/>
      <c r="B18" s="153" t="s">
        <v>12</v>
      </c>
      <c r="C18" s="156" t="s">
        <v>21</v>
      </c>
      <c r="D18" s="6"/>
      <c r="E18" s="7" t="s">
        <v>14</v>
      </c>
      <c r="F18" s="6"/>
      <c r="G18" s="7" t="s">
        <v>14</v>
      </c>
      <c r="H18" s="6"/>
      <c r="I18" s="7" t="s">
        <v>14</v>
      </c>
      <c r="J18" s="6"/>
      <c r="K18" s="7" t="s">
        <v>14</v>
      </c>
      <c r="L18" s="247"/>
    </row>
    <row r="19" spans="1:12">
      <c r="A19" s="253"/>
      <c r="B19" s="154" t="s">
        <v>15</v>
      </c>
      <c r="C19" s="157" t="s">
        <v>22</v>
      </c>
      <c r="D19" s="8"/>
      <c r="E19" s="9" t="s">
        <v>17</v>
      </c>
      <c r="F19" s="8"/>
      <c r="G19" s="9" t="s">
        <v>17</v>
      </c>
      <c r="H19" s="8"/>
      <c r="I19" s="9" t="s">
        <v>17</v>
      </c>
      <c r="J19" s="8"/>
      <c r="K19" s="9" t="s">
        <v>17</v>
      </c>
      <c r="L19" s="248"/>
    </row>
    <row r="20" spans="1:12">
      <c r="A20" s="255"/>
      <c r="B20" s="152" t="s">
        <v>5</v>
      </c>
      <c r="C20" s="155" t="s">
        <v>18</v>
      </c>
      <c r="D20" s="5"/>
      <c r="E20" s="36" t="s">
        <v>0</v>
      </c>
      <c r="F20" s="5"/>
      <c r="G20" s="36" t="s">
        <v>0</v>
      </c>
      <c r="H20" s="5"/>
      <c r="I20" s="36" t="s">
        <v>0</v>
      </c>
      <c r="J20" s="5"/>
      <c r="K20" s="36" t="s">
        <v>0</v>
      </c>
      <c r="L20" s="246"/>
    </row>
    <row r="21" spans="1:12">
      <c r="A21" s="252"/>
      <c r="B21" s="153" t="s">
        <v>7</v>
      </c>
      <c r="C21" s="156" t="s">
        <v>19</v>
      </c>
      <c r="D21" s="6"/>
      <c r="E21" s="7" t="s">
        <v>9</v>
      </c>
      <c r="F21" s="6"/>
      <c r="G21" s="7" t="s">
        <v>9</v>
      </c>
      <c r="H21" s="6"/>
      <c r="I21" s="7" t="s">
        <v>9</v>
      </c>
      <c r="J21" s="6"/>
      <c r="K21" s="7" t="s">
        <v>9</v>
      </c>
      <c r="L21" s="247"/>
    </row>
    <row r="22" spans="1:12">
      <c r="A22" s="252"/>
      <c r="B22" s="153" t="s">
        <v>10</v>
      </c>
      <c r="C22" s="156" t="s">
        <v>155</v>
      </c>
      <c r="D22" s="6"/>
      <c r="E22" s="7" t="s">
        <v>11</v>
      </c>
      <c r="F22" s="6"/>
      <c r="G22" s="7" t="s">
        <v>11</v>
      </c>
      <c r="H22" s="6"/>
      <c r="I22" s="7" t="s">
        <v>11</v>
      </c>
      <c r="J22" s="6"/>
      <c r="K22" s="7" t="s">
        <v>11</v>
      </c>
      <c r="L22" s="247"/>
    </row>
    <row r="23" spans="1:12">
      <c r="A23" s="252"/>
      <c r="B23" s="153" t="s">
        <v>12</v>
      </c>
      <c r="C23" s="156" t="s">
        <v>21</v>
      </c>
      <c r="D23" s="6"/>
      <c r="E23" s="7" t="s">
        <v>14</v>
      </c>
      <c r="F23" s="6"/>
      <c r="G23" s="7" t="s">
        <v>14</v>
      </c>
      <c r="H23" s="6"/>
      <c r="I23" s="7" t="s">
        <v>14</v>
      </c>
      <c r="J23" s="6"/>
      <c r="K23" s="7" t="s">
        <v>14</v>
      </c>
      <c r="L23" s="247"/>
    </row>
    <row r="24" spans="1:12">
      <c r="A24" s="253"/>
      <c r="B24" s="154" t="s">
        <v>15</v>
      </c>
      <c r="C24" s="157" t="s">
        <v>22</v>
      </c>
      <c r="D24" s="8"/>
      <c r="E24" s="9" t="s">
        <v>17</v>
      </c>
      <c r="F24" s="8"/>
      <c r="G24" s="9" t="s">
        <v>17</v>
      </c>
      <c r="H24" s="8"/>
      <c r="I24" s="9" t="s">
        <v>17</v>
      </c>
      <c r="J24" s="8"/>
      <c r="K24" s="9" t="s">
        <v>17</v>
      </c>
      <c r="L24" s="248"/>
    </row>
    <row r="25" spans="1:12">
      <c r="A25" s="255"/>
      <c r="B25" s="152" t="s">
        <v>5</v>
      </c>
      <c r="C25" s="155" t="s">
        <v>18</v>
      </c>
      <c r="D25" s="5"/>
      <c r="E25" s="36" t="s">
        <v>0</v>
      </c>
      <c r="F25" s="5"/>
      <c r="G25" s="36" t="s">
        <v>0</v>
      </c>
      <c r="H25" s="5"/>
      <c r="I25" s="36" t="s">
        <v>0</v>
      </c>
      <c r="J25" s="5"/>
      <c r="K25" s="36" t="s">
        <v>0</v>
      </c>
      <c r="L25" s="246"/>
    </row>
    <row r="26" spans="1:12">
      <c r="A26" s="252"/>
      <c r="B26" s="153" t="s">
        <v>7</v>
      </c>
      <c r="C26" s="156" t="s">
        <v>19</v>
      </c>
      <c r="D26" s="6"/>
      <c r="E26" s="7" t="s">
        <v>9</v>
      </c>
      <c r="F26" s="6"/>
      <c r="G26" s="7" t="s">
        <v>9</v>
      </c>
      <c r="H26" s="6"/>
      <c r="I26" s="7" t="s">
        <v>9</v>
      </c>
      <c r="J26" s="6"/>
      <c r="K26" s="7" t="s">
        <v>9</v>
      </c>
      <c r="L26" s="247"/>
    </row>
    <row r="27" spans="1:12">
      <c r="A27" s="252"/>
      <c r="B27" s="153" t="s">
        <v>10</v>
      </c>
      <c r="C27" s="156" t="s">
        <v>155</v>
      </c>
      <c r="D27" s="6"/>
      <c r="E27" s="7" t="s">
        <v>11</v>
      </c>
      <c r="F27" s="6"/>
      <c r="G27" s="7" t="s">
        <v>11</v>
      </c>
      <c r="H27" s="6"/>
      <c r="I27" s="7" t="s">
        <v>11</v>
      </c>
      <c r="J27" s="6"/>
      <c r="K27" s="7" t="s">
        <v>11</v>
      </c>
      <c r="L27" s="247"/>
    </row>
    <row r="28" spans="1:12">
      <c r="A28" s="252"/>
      <c r="B28" s="153" t="s">
        <v>12</v>
      </c>
      <c r="C28" s="156" t="s">
        <v>21</v>
      </c>
      <c r="D28" s="6"/>
      <c r="E28" s="7" t="s">
        <v>14</v>
      </c>
      <c r="F28" s="6"/>
      <c r="G28" s="7" t="s">
        <v>14</v>
      </c>
      <c r="H28" s="6"/>
      <c r="I28" s="7" t="s">
        <v>14</v>
      </c>
      <c r="J28" s="6"/>
      <c r="K28" s="7" t="s">
        <v>14</v>
      </c>
      <c r="L28" s="247"/>
    </row>
    <row r="29" spans="1:12">
      <c r="A29" s="253"/>
      <c r="B29" s="154" t="s">
        <v>15</v>
      </c>
      <c r="C29" s="157" t="s">
        <v>22</v>
      </c>
      <c r="D29" s="8"/>
      <c r="E29" s="9" t="s">
        <v>17</v>
      </c>
      <c r="F29" s="8"/>
      <c r="G29" s="9" t="s">
        <v>17</v>
      </c>
      <c r="H29" s="8"/>
      <c r="I29" s="9" t="s">
        <v>17</v>
      </c>
      <c r="J29" s="8"/>
      <c r="K29" s="9" t="s">
        <v>17</v>
      </c>
      <c r="L29" s="248"/>
    </row>
    <row r="30" spans="1:12">
      <c r="A30" s="256" t="s">
        <v>23</v>
      </c>
      <c r="B30" s="257"/>
      <c r="C30" s="158" t="s">
        <v>24</v>
      </c>
      <c r="D30" s="144">
        <f>SUM(D9,D14,D19,D24,D29)</f>
        <v>0</v>
      </c>
      <c r="E30" s="145" t="s">
        <v>17</v>
      </c>
      <c r="F30" s="144">
        <f>SUM(F9,F14,F19,F24,F29)</f>
        <v>0</v>
      </c>
      <c r="G30" s="145" t="s">
        <v>17</v>
      </c>
      <c r="H30" s="144">
        <f>SUM(H9,H14,H19,H24,H29)</f>
        <v>0</v>
      </c>
      <c r="I30" s="145" t="s">
        <v>17</v>
      </c>
      <c r="J30" s="144">
        <f>SUM(J9,J14,J19,J24,J29)</f>
        <v>0</v>
      </c>
      <c r="K30" s="145" t="s">
        <v>17</v>
      </c>
      <c r="L30" s="246"/>
    </row>
    <row r="31" spans="1:12">
      <c r="A31" s="244" t="s">
        <v>67</v>
      </c>
      <c r="B31" s="245"/>
      <c r="C31" s="159"/>
      <c r="D31" s="29" t="s">
        <v>1</v>
      </c>
      <c r="E31" s="27" t="s">
        <v>65</v>
      </c>
      <c r="F31" s="141">
        <f>IF(F30=0,,+F30/$D30*100)</f>
        <v>0</v>
      </c>
      <c r="G31" s="142" t="s">
        <v>65</v>
      </c>
      <c r="H31" s="141">
        <f>IF(H30=0,,+H30/$D30*100)</f>
        <v>0</v>
      </c>
      <c r="I31" s="27" t="s">
        <v>65</v>
      </c>
      <c r="J31" s="141">
        <f>IF(J30=0,,+J30/$D30*100)</f>
        <v>0</v>
      </c>
      <c r="K31" s="142" t="s">
        <v>65</v>
      </c>
      <c r="L31" s="248"/>
    </row>
    <row r="32" spans="1:12">
      <c r="D32" s="10"/>
      <c r="E32" s="11"/>
      <c r="F32" s="10"/>
      <c r="G32" s="11"/>
      <c r="H32" s="10"/>
      <c r="I32" s="10"/>
      <c r="J32" s="10"/>
      <c r="K32" s="10"/>
    </row>
    <row r="33" spans="1:12">
      <c r="A33" s="2" t="s">
        <v>133</v>
      </c>
      <c r="D33" s="10"/>
      <c r="E33" s="11"/>
      <c r="F33" s="10"/>
      <c r="G33" s="11"/>
      <c r="H33" s="10"/>
      <c r="I33" s="10"/>
      <c r="J33" s="10"/>
      <c r="K33" s="10"/>
    </row>
    <row r="34" spans="1:12">
      <c r="A34" s="140" t="s">
        <v>25</v>
      </c>
      <c r="B34" s="258" t="s">
        <v>83</v>
      </c>
      <c r="C34" s="258"/>
      <c r="D34" s="254" t="str">
        <f>+D4</f>
        <v>現状</v>
      </c>
      <c r="E34" s="254"/>
      <c r="F34" s="249" t="str">
        <f>+F4</f>
        <v>R7年度</v>
      </c>
      <c r="G34" s="250"/>
      <c r="H34" s="249" t="str">
        <f>+H4</f>
        <v>R8年度</v>
      </c>
      <c r="I34" s="250"/>
      <c r="J34" s="249" t="str">
        <f>+J4</f>
        <v>R9年度</v>
      </c>
      <c r="K34" s="250"/>
      <c r="L34" s="140" t="str">
        <f>+L4</f>
        <v>備考</v>
      </c>
    </row>
    <row r="35" spans="1:12">
      <c r="A35" s="251"/>
      <c r="B35" s="153" t="s">
        <v>26</v>
      </c>
      <c r="C35" s="155" t="s">
        <v>18</v>
      </c>
      <c r="D35" s="6"/>
      <c r="E35" s="12" t="s">
        <v>20</v>
      </c>
      <c r="F35" s="6"/>
      <c r="G35" s="12" t="s">
        <v>20</v>
      </c>
      <c r="H35" s="6"/>
      <c r="I35" s="12" t="s">
        <v>20</v>
      </c>
      <c r="J35" s="6"/>
      <c r="K35" s="12" t="s">
        <v>20</v>
      </c>
      <c r="L35" s="246"/>
    </row>
    <row r="36" spans="1:12">
      <c r="A36" s="252"/>
      <c r="B36" s="153" t="s">
        <v>12</v>
      </c>
      <c r="C36" s="156" t="s">
        <v>19</v>
      </c>
      <c r="D36" s="6"/>
      <c r="E36" s="12" t="s">
        <v>14</v>
      </c>
      <c r="F36" s="6"/>
      <c r="G36" s="12" t="s">
        <v>14</v>
      </c>
      <c r="H36" s="6"/>
      <c r="I36" s="12" t="s">
        <v>14</v>
      </c>
      <c r="J36" s="6"/>
      <c r="K36" s="12" t="s">
        <v>14</v>
      </c>
      <c r="L36" s="247"/>
    </row>
    <row r="37" spans="1:12">
      <c r="A37" s="253"/>
      <c r="B37" s="154" t="s">
        <v>15</v>
      </c>
      <c r="C37" s="157" t="s">
        <v>27</v>
      </c>
      <c r="D37" s="8">
        <f>+D35*D36</f>
        <v>0</v>
      </c>
      <c r="E37" s="13" t="s">
        <v>17</v>
      </c>
      <c r="F37" s="8">
        <f t="shared" ref="F37" si="0">+F35*F36</f>
        <v>0</v>
      </c>
      <c r="G37" s="13" t="s">
        <v>17</v>
      </c>
      <c r="H37" s="8">
        <f t="shared" ref="H37" si="1">+H35*H36</f>
        <v>0</v>
      </c>
      <c r="I37" s="13" t="s">
        <v>17</v>
      </c>
      <c r="J37" s="8">
        <f t="shared" ref="J37" si="2">+J35*J36</f>
        <v>0</v>
      </c>
      <c r="K37" s="13" t="s">
        <v>17</v>
      </c>
      <c r="L37" s="248"/>
    </row>
    <row r="38" spans="1:12">
      <c r="A38" s="252"/>
      <c r="B38" s="153" t="s">
        <v>26</v>
      </c>
      <c r="C38" s="156" t="s">
        <v>18</v>
      </c>
      <c r="D38" s="6"/>
      <c r="E38" s="12" t="s">
        <v>20</v>
      </c>
      <c r="F38" s="6"/>
      <c r="G38" s="12" t="s">
        <v>20</v>
      </c>
      <c r="H38" s="6"/>
      <c r="I38" s="12" t="s">
        <v>20</v>
      </c>
      <c r="J38" s="6"/>
      <c r="K38" s="12" t="s">
        <v>20</v>
      </c>
      <c r="L38" s="246"/>
    </row>
    <row r="39" spans="1:12">
      <c r="A39" s="252"/>
      <c r="B39" s="153" t="s">
        <v>12</v>
      </c>
      <c r="C39" s="156" t="s">
        <v>19</v>
      </c>
      <c r="D39" s="6"/>
      <c r="E39" s="12" t="s">
        <v>14</v>
      </c>
      <c r="F39" s="6"/>
      <c r="G39" s="12" t="s">
        <v>14</v>
      </c>
      <c r="H39" s="6"/>
      <c r="I39" s="12" t="s">
        <v>14</v>
      </c>
      <c r="J39" s="6"/>
      <c r="K39" s="12" t="s">
        <v>14</v>
      </c>
      <c r="L39" s="247"/>
    </row>
    <row r="40" spans="1:12">
      <c r="A40" s="253"/>
      <c r="B40" s="154" t="s">
        <v>15</v>
      </c>
      <c r="C40" s="157" t="s">
        <v>27</v>
      </c>
      <c r="D40" s="8">
        <f>+D38*D39</f>
        <v>0</v>
      </c>
      <c r="E40" s="13" t="s">
        <v>17</v>
      </c>
      <c r="F40" s="8">
        <f t="shared" ref="F40" si="3">+F38*F39</f>
        <v>0</v>
      </c>
      <c r="G40" s="13" t="s">
        <v>17</v>
      </c>
      <c r="H40" s="8">
        <f t="shared" ref="H40" si="4">+H38*H39</f>
        <v>0</v>
      </c>
      <c r="I40" s="13" t="s">
        <v>17</v>
      </c>
      <c r="J40" s="8">
        <f t="shared" ref="J40" si="5">+J38*J39</f>
        <v>0</v>
      </c>
      <c r="K40" s="13" t="s">
        <v>17</v>
      </c>
      <c r="L40" s="248"/>
    </row>
    <row r="41" spans="1:12">
      <c r="A41" s="252"/>
      <c r="B41" s="153" t="s">
        <v>26</v>
      </c>
      <c r="C41" s="156" t="s">
        <v>18</v>
      </c>
      <c r="D41" s="6"/>
      <c r="E41" s="12" t="s">
        <v>20</v>
      </c>
      <c r="F41" s="6"/>
      <c r="G41" s="12" t="s">
        <v>20</v>
      </c>
      <c r="H41" s="6"/>
      <c r="I41" s="12" t="s">
        <v>20</v>
      </c>
      <c r="J41" s="6"/>
      <c r="K41" s="12" t="s">
        <v>20</v>
      </c>
      <c r="L41" s="246"/>
    </row>
    <row r="42" spans="1:12">
      <c r="A42" s="252"/>
      <c r="B42" s="153" t="s">
        <v>12</v>
      </c>
      <c r="C42" s="156" t="s">
        <v>19</v>
      </c>
      <c r="D42" s="6"/>
      <c r="E42" s="12" t="s">
        <v>14</v>
      </c>
      <c r="F42" s="6"/>
      <c r="G42" s="12" t="s">
        <v>14</v>
      </c>
      <c r="H42" s="6"/>
      <c r="I42" s="12" t="s">
        <v>14</v>
      </c>
      <c r="J42" s="6"/>
      <c r="K42" s="12" t="s">
        <v>14</v>
      </c>
      <c r="L42" s="247"/>
    </row>
    <row r="43" spans="1:12">
      <c r="A43" s="253"/>
      <c r="B43" s="154" t="s">
        <v>15</v>
      </c>
      <c r="C43" s="157" t="s">
        <v>27</v>
      </c>
      <c r="D43" s="8">
        <f>+D41*D42</f>
        <v>0</v>
      </c>
      <c r="E43" s="13" t="s">
        <v>17</v>
      </c>
      <c r="F43" s="8">
        <f t="shared" ref="F43" si="6">+F41*F42</f>
        <v>0</v>
      </c>
      <c r="G43" s="13" t="s">
        <v>17</v>
      </c>
      <c r="H43" s="8">
        <f t="shared" ref="H43" si="7">+H41*H42</f>
        <v>0</v>
      </c>
      <c r="I43" s="13" t="s">
        <v>17</v>
      </c>
      <c r="J43" s="8">
        <f t="shared" ref="J43" si="8">+J41*J42</f>
        <v>0</v>
      </c>
      <c r="K43" s="13" t="s">
        <v>17</v>
      </c>
      <c r="L43" s="248"/>
    </row>
    <row r="44" spans="1:12">
      <c r="A44" s="256" t="s">
        <v>23</v>
      </c>
      <c r="B44" s="257"/>
      <c r="C44" s="158" t="s">
        <v>28</v>
      </c>
      <c r="D44" s="144">
        <f>+D37+D40+D43</f>
        <v>0</v>
      </c>
      <c r="E44" s="146" t="s">
        <v>17</v>
      </c>
      <c r="F44" s="144">
        <f>+F37+F40+F43</f>
        <v>0</v>
      </c>
      <c r="G44" s="146" t="s">
        <v>17</v>
      </c>
      <c r="H44" s="144">
        <f>+H37+H40+H43</f>
        <v>0</v>
      </c>
      <c r="I44" s="146" t="s">
        <v>17</v>
      </c>
      <c r="J44" s="144">
        <f>+J37+J40+J43</f>
        <v>0</v>
      </c>
      <c r="K44" s="146" t="s">
        <v>17</v>
      </c>
      <c r="L44" s="246"/>
    </row>
    <row r="45" spans="1:12">
      <c r="A45" s="244" t="s">
        <v>67</v>
      </c>
      <c r="B45" s="245"/>
      <c r="C45" s="159"/>
      <c r="D45" s="29" t="s">
        <v>1</v>
      </c>
      <c r="E45" s="27" t="s">
        <v>65</v>
      </c>
      <c r="F45" s="141">
        <f>IF(F44=0,,+F44/$D44*100)</f>
        <v>0</v>
      </c>
      <c r="G45" s="142" t="s">
        <v>65</v>
      </c>
      <c r="H45" s="141">
        <f>IF(H44=0,,+H44/$D44*100)</f>
        <v>0</v>
      </c>
      <c r="I45" s="27" t="s">
        <v>65</v>
      </c>
      <c r="J45" s="141">
        <f>IF(J44=0,,+J44/$D44*100)</f>
        <v>0</v>
      </c>
      <c r="K45" s="142" t="s">
        <v>65</v>
      </c>
      <c r="L45" s="248"/>
    </row>
    <row r="46" spans="1:12">
      <c r="A46" s="14"/>
      <c r="B46" s="14"/>
      <c r="C46" s="14"/>
      <c r="D46" s="15"/>
      <c r="E46" s="16"/>
      <c r="F46" s="15"/>
      <c r="G46" s="16"/>
      <c r="H46" s="15"/>
      <c r="I46" s="16"/>
      <c r="J46" s="15"/>
      <c r="K46" s="16"/>
    </row>
    <row r="47" spans="1:12">
      <c r="A47" s="2" t="s">
        <v>29</v>
      </c>
      <c r="G47" s="3"/>
    </row>
    <row r="48" spans="1:12">
      <c r="A48" s="139"/>
      <c r="B48" s="143"/>
      <c r="C48" s="151"/>
      <c r="D48" s="254" t="str">
        <f>+D34</f>
        <v>現状</v>
      </c>
      <c r="E48" s="254"/>
      <c r="F48" s="254" t="str">
        <f t="shared" ref="F48" si="9">+F34</f>
        <v>R7年度</v>
      </c>
      <c r="G48" s="254"/>
      <c r="H48" s="254" t="str">
        <f t="shared" ref="H48" si="10">+H34</f>
        <v>R8年度</v>
      </c>
      <c r="I48" s="254"/>
      <c r="J48" s="254" t="str">
        <f t="shared" ref="J48" si="11">+J34</f>
        <v>R9年度</v>
      </c>
      <c r="K48" s="254"/>
      <c r="L48" s="140" t="str">
        <f>+L34</f>
        <v>備考</v>
      </c>
    </row>
    <row r="49" spans="1:12">
      <c r="A49" s="256" t="s">
        <v>23</v>
      </c>
      <c r="B49" s="257"/>
      <c r="C49" s="158" t="s">
        <v>30</v>
      </c>
      <c r="D49" s="147">
        <f>D30+D44</f>
        <v>0</v>
      </c>
      <c r="E49" s="148" t="s">
        <v>17</v>
      </c>
      <c r="F49" s="147">
        <f>F30+F44</f>
        <v>0</v>
      </c>
      <c r="G49" s="149" t="s">
        <v>17</v>
      </c>
      <c r="H49" s="150">
        <f>H30+H44</f>
        <v>0</v>
      </c>
      <c r="I49" s="148" t="s">
        <v>17</v>
      </c>
      <c r="J49" s="147">
        <f>J30+J44</f>
        <v>0</v>
      </c>
      <c r="K49" s="149" t="s">
        <v>17</v>
      </c>
      <c r="L49" s="246"/>
    </row>
    <row r="50" spans="1:12">
      <c r="A50" s="244" t="s">
        <v>67</v>
      </c>
      <c r="B50" s="245"/>
      <c r="C50" s="159"/>
      <c r="D50" s="29" t="s">
        <v>66</v>
      </c>
      <c r="E50" s="27" t="s">
        <v>65</v>
      </c>
      <c r="F50" s="141">
        <f>IF(F49=0,,+F49/$D49*100)</f>
        <v>0</v>
      </c>
      <c r="G50" s="142" t="s">
        <v>65</v>
      </c>
      <c r="H50" s="141">
        <f>IF(H49=0,,+H49/$D49*100)</f>
        <v>0</v>
      </c>
      <c r="I50" s="27" t="s">
        <v>65</v>
      </c>
      <c r="J50" s="141">
        <f>IF(J49=0,,+J49/$D49*100)</f>
        <v>0</v>
      </c>
      <c r="K50" s="142" t="s">
        <v>65</v>
      </c>
      <c r="L50" s="248"/>
    </row>
    <row r="51" spans="1:12">
      <c r="A51" s="128"/>
    </row>
    <row r="52" spans="1:12">
      <c r="A52" s="128"/>
    </row>
  </sheetData>
  <mergeCells count="40">
    <mergeCell ref="A50:B50"/>
    <mergeCell ref="A49:B49"/>
    <mergeCell ref="B4:C4"/>
    <mergeCell ref="D4:E4"/>
    <mergeCell ref="F4:G4"/>
    <mergeCell ref="A5:A9"/>
    <mergeCell ref="D48:E48"/>
    <mergeCell ref="F48:G48"/>
    <mergeCell ref="A10:A14"/>
    <mergeCell ref="A25:A29"/>
    <mergeCell ref="A30:B30"/>
    <mergeCell ref="B34:C34"/>
    <mergeCell ref="D34:E34"/>
    <mergeCell ref="A44:B44"/>
    <mergeCell ref="A15:A19"/>
    <mergeCell ref="L49:L50"/>
    <mergeCell ref="H4:I4"/>
    <mergeCell ref="H34:I34"/>
    <mergeCell ref="L41:L43"/>
    <mergeCell ref="H48:I48"/>
    <mergeCell ref="J48:K48"/>
    <mergeCell ref="L44:L45"/>
    <mergeCell ref="L20:L24"/>
    <mergeCell ref="L15:L19"/>
    <mergeCell ref="A1:L1"/>
    <mergeCell ref="A31:B31"/>
    <mergeCell ref="A45:B45"/>
    <mergeCell ref="L5:L9"/>
    <mergeCell ref="L10:L14"/>
    <mergeCell ref="L25:L29"/>
    <mergeCell ref="L35:L37"/>
    <mergeCell ref="L38:L40"/>
    <mergeCell ref="J34:K34"/>
    <mergeCell ref="A35:A37"/>
    <mergeCell ref="A38:A40"/>
    <mergeCell ref="A41:A43"/>
    <mergeCell ref="J4:K4"/>
    <mergeCell ref="L30:L31"/>
    <mergeCell ref="F34:G34"/>
    <mergeCell ref="A20:A24"/>
  </mergeCells>
  <phoneticPr fontId="1"/>
  <pageMargins left="0.59055118110236227" right="0.19685039370078741" top="0.74803149606299213" bottom="0.74803149606299213" header="0.31496062992125984" footer="0.31496062992125984"/>
  <pageSetup paperSize="9" scale="8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L40"/>
  <sheetViews>
    <sheetView view="pageBreakPreview" zoomScale="70" zoomScaleNormal="100" zoomScaleSheetLayoutView="70" workbookViewId="0">
      <pane xSplit="4" ySplit="5" topLeftCell="G15" activePane="bottomRight" state="frozen"/>
      <selection pane="topRight" activeCell="D1" sqref="D1"/>
      <selection pane="bottomLeft" activeCell="A6" sqref="A6"/>
      <selection pane="bottomRight" activeCell="F5" sqref="F5"/>
    </sheetView>
  </sheetViews>
  <sheetFormatPr defaultColWidth="9" defaultRowHeight="13.5"/>
  <cols>
    <col min="1" max="1" width="3.875" style="2" customWidth="1"/>
    <col min="2" max="2" width="17.125" style="2" bestFit="1" customWidth="1"/>
    <col min="3" max="3" width="17.125" style="2" customWidth="1"/>
    <col min="4" max="4" width="29" style="2" customWidth="1"/>
    <col min="5" max="5" width="13.25" style="2" bestFit="1" customWidth="1"/>
    <col min="6" max="6" width="75.625" style="2" customWidth="1"/>
    <col min="7" max="7" width="13.25" style="2" bestFit="1" customWidth="1"/>
    <col min="8" max="8" width="55.625" style="2" customWidth="1"/>
    <col min="9" max="9" width="12.125" style="2" bestFit="1" customWidth="1"/>
    <col min="10" max="10" width="60.625" style="2" customWidth="1"/>
    <col min="11" max="11" width="12.125" style="2" bestFit="1" customWidth="1"/>
    <col min="12" max="12" width="74.375" style="2" customWidth="1"/>
    <col min="13" max="13" width="5" style="2" customWidth="1"/>
    <col min="14" max="16384" width="9" style="2"/>
  </cols>
  <sheetData>
    <row r="1" spans="2:12" ht="18.75">
      <c r="B1" s="38" t="s">
        <v>127</v>
      </c>
      <c r="C1" s="38"/>
      <c r="D1" s="38"/>
      <c r="E1" s="38"/>
      <c r="F1" s="38"/>
      <c r="G1" s="38"/>
      <c r="H1" s="38"/>
      <c r="I1" s="38"/>
      <c r="J1" s="38"/>
      <c r="K1" s="38"/>
      <c r="L1" s="38"/>
    </row>
    <row r="3" spans="2:12" ht="19.5" customHeight="1">
      <c r="B3" s="17" t="s">
        <v>31</v>
      </c>
      <c r="C3" s="17"/>
      <c r="H3" s="2" t="s">
        <v>234</v>
      </c>
      <c r="J3" s="2" t="s">
        <v>235</v>
      </c>
    </row>
    <row r="4" spans="2:12" ht="21" customHeight="1">
      <c r="B4" s="255" t="s">
        <v>32</v>
      </c>
      <c r="C4" s="171" t="s">
        <v>189</v>
      </c>
      <c r="D4" s="255" t="s">
        <v>33</v>
      </c>
      <c r="E4" s="259" t="s">
        <v>183</v>
      </c>
      <c r="F4" s="260"/>
      <c r="G4" s="264" t="s">
        <v>184</v>
      </c>
      <c r="H4" s="265"/>
      <c r="I4" s="264" t="s">
        <v>185</v>
      </c>
      <c r="J4" s="265"/>
      <c r="K4" s="259" t="s">
        <v>186</v>
      </c>
      <c r="L4" s="260"/>
    </row>
    <row r="5" spans="2:12" ht="21" customHeight="1">
      <c r="B5" s="253"/>
      <c r="C5" s="168" t="s">
        <v>205</v>
      </c>
      <c r="D5" s="253"/>
      <c r="E5" s="35" t="s">
        <v>34</v>
      </c>
      <c r="F5" s="35" t="s">
        <v>35</v>
      </c>
      <c r="G5" s="178" t="s">
        <v>34</v>
      </c>
      <c r="H5" s="178" t="s">
        <v>35</v>
      </c>
      <c r="I5" s="178" t="s">
        <v>34</v>
      </c>
      <c r="J5" s="178" t="s">
        <v>35</v>
      </c>
      <c r="K5" s="35" t="s">
        <v>34</v>
      </c>
      <c r="L5" s="35" t="s">
        <v>35</v>
      </c>
    </row>
    <row r="6" spans="2:12" ht="45" customHeight="1">
      <c r="B6" s="125" t="s">
        <v>132</v>
      </c>
      <c r="C6" s="177" t="s">
        <v>190</v>
      </c>
      <c r="D6" s="41" t="s">
        <v>134</v>
      </c>
      <c r="E6" s="20"/>
      <c r="F6" s="131" t="s">
        <v>233</v>
      </c>
      <c r="G6" s="179"/>
      <c r="H6" s="180"/>
      <c r="I6" s="179"/>
      <c r="J6" s="180"/>
      <c r="K6" s="21"/>
      <c r="L6" s="131" t="s">
        <v>237</v>
      </c>
    </row>
    <row r="7" spans="2:12" ht="45" customHeight="1">
      <c r="B7" s="122" t="s">
        <v>135</v>
      </c>
      <c r="C7" s="122" t="s">
        <v>135</v>
      </c>
      <c r="D7" s="47" t="s">
        <v>145</v>
      </c>
      <c r="E7" s="46"/>
      <c r="F7" s="50"/>
      <c r="G7" s="181"/>
      <c r="H7" s="182"/>
      <c r="I7" s="181"/>
      <c r="J7" s="182"/>
      <c r="K7" s="48"/>
      <c r="L7" s="50"/>
    </row>
    <row r="8" spans="2:12" ht="45" customHeight="1">
      <c r="B8" s="45" t="s">
        <v>131</v>
      </c>
      <c r="C8" s="45" t="s">
        <v>131</v>
      </c>
      <c r="D8" s="47" t="s">
        <v>162</v>
      </c>
      <c r="E8" s="46"/>
      <c r="F8" s="50" t="s">
        <v>236</v>
      </c>
      <c r="G8" s="181"/>
      <c r="H8" s="182"/>
      <c r="I8" s="181"/>
      <c r="J8" s="182"/>
      <c r="K8" s="48"/>
      <c r="L8" s="50" t="s">
        <v>238</v>
      </c>
    </row>
    <row r="9" spans="2:12" ht="45" customHeight="1">
      <c r="B9" s="22" t="s">
        <v>151</v>
      </c>
      <c r="C9" s="22" t="s">
        <v>151</v>
      </c>
      <c r="D9" s="43" t="s">
        <v>146</v>
      </c>
      <c r="E9" s="42"/>
      <c r="F9" s="49"/>
      <c r="G9" s="183"/>
      <c r="H9" s="184"/>
      <c r="I9" s="183"/>
      <c r="J9" s="184"/>
      <c r="K9" s="44"/>
      <c r="L9" s="49"/>
    </row>
    <row r="10" spans="2:12" ht="45" customHeight="1">
      <c r="B10" s="261" t="s">
        <v>36</v>
      </c>
      <c r="C10" s="262"/>
      <c r="D10" s="263"/>
      <c r="E10" s="18">
        <f>SUM(E6:E9)</f>
        <v>0</v>
      </c>
      <c r="F10" s="130"/>
      <c r="G10" s="185">
        <f>SUM(G6:G9)</f>
        <v>0</v>
      </c>
      <c r="H10" s="186"/>
      <c r="I10" s="185">
        <f>SUM(I6:I9)</f>
        <v>0</v>
      </c>
      <c r="J10" s="186"/>
      <c r="K10" s="19">
        <f>SUM(K6:K9)</f>
        <v>0</v>
      </c>
      <c r="L10" s="130"/>
    </row>
    <row r="11" spans="2:12">
      <c r="G11" s="187"/>
      <c r="H11" s="187"/>
      <c r="I11" s="187"/>
      <c r="J11" s="187"/>
    </row>
    <row r="12" spans="2:12" ht="19.5" customHeight="1">
      <c r="B12" s="17" t="s">
        <v>37</v>
      </c>
      <c r="C12" s="17"/>
      <c r="G12" s="187"/>
      <c r="H12" s="187"/>
      <c r="I12" s="187"/>
      <c r="J12" s="187"/>
    </row>
    <row r="13" spans="2:12" ht="21" customHeight="1">
      <c r="B13" s="255" t="s">
        <v>38</v>
      </c>
      <c r="C13" s="171"/>
      <c r="D13" s="255" t="s">
        <v>39</v>
      </c>
      <c r="E13" s="259" t="str">
        <f>+E4</f>
        <v>現状（R6年度）</v>
      </c>
      <c r="F13" s="260"/>
      <c r="G13" s="264" t="str">
        <f>+G4</f>
        <v>１年度目（R7年度）</v>
      </c>
      <c r="H13" s="265"/>
      <c r="I13" s="264" t="str">
        <f>+I4</f>
        <v>２年度目（R8年度）</v>
      </c>
      <c r="J13" s="265"/>
      <c r="K13" s="259" t="str">
        <f>+K4</f>
        <v>目標年度（R9年度）</v>
      </c>
      <c r="L13" s="260"/>
    </row>
    <row r="14" spans="2:12" ht="21" customHeight="1">
      <c r="B14" s="253"/>
      <c r="C14" s="168"/>
      <c r="D14" s="253"/>
      <c r="E14" s="4" t="s">
        <v>34</v>
      </c>
      <c r="F14" s="4" t="s">
        <v>35</v>
      </c>
      <c r="G14" s="178" t="s">
        <v>34</v>
      </c>
      <c r="H14" s="178" t="s">
        <v>35</v>
      </c>
      <c r="I14" s="178" t="s">
        <v>34</v>
      </c>
      <c r="J14" s="178" t="s">
        <v>35</v>
      </c>
      <c r="K14" s="4" t="s">
        <v>34</v>
      </c>
      <c r="L14" s="4" t="s">
        <v>35</v>
      </c>
    </row>
    <row r="15" spans="2:12" ht="39.950000000000003" customHeight="1">
      <c r="B15" s="125" t="s">
        <v>128</v>
      </c>
      <c r="C15" s="125"/>
      <c r="D15" s="125" t="s">
        <v>129</v>
      </c>
      <c r="E15" s="126"/>
      <c r="F15" s="127" t="s">
        <v>161</v>
      </c>
      <c r="G15" s="188"/>
      <c r="H15" s="189"/>
      <c r="I15" s="188"/>
      <c r="J15" s="189"/>
      <c r="K15" s="126"/>
      <c r="L15" s="127"/>
    </row>
    <row r="16" spans="2:12" ht="45" customHeight="1">
      <c r="B16" s="122" t="s">
        <v>72</v>
      </c>
      <c r="C16" s="122" t="s">
        <v>188</v>
      </c>
      <c r="D16" s="122" t="s">
        <v>130</v>
      </c>
      <c r="E16" s="123"/>
      <c r="F16" s="124"/>
      <c r="G16" s="190"/>
      <c r="H16" s="191"/>
      <c r="I16" s="190"/>
      <c r="J16" s="191"/>
      <c r="K16" s="123"/>
      <c r="L16" s="124"/>
    </row>
    <row r="17" spans="2:12" ht="45" customHeight="1">
      <c r="B17" s="47" t="s">
        <v>69</v>
      </c>
      <c r="C17" s="47" t="s">
        <v>194</v>
      </c>
      <c r="D17" s="47" t="s">
        <v>75</v>
      </c>
      <c r="E17" s="46"/>
      <c r="F17" s="50"/>
      <c r="G17" s="192"/>
      <c r="H17" s="182"/>
      <c r="I17" s="192"/>
      <c r="J17" s="182"/>
      <c r="K17" s="46"/>
      <c r="L17" s="50"/>
    </row>
    <row r="18" spans="2:12" ht="112.5" customHeight="1">
      <c r="B18" s="47" t="s">
        <v>74</v>
      </c>
      <c r="C18" s="47" t="s">
        <v>195</v>
      </c>
      <c r="D18" s="47" t="s">
        <v>195</v>
      </c>
      <c r="E18" s="46"/>
      <c r="F18" s="50"/>
      <c r="G18" s="192"/>
      <c r="H18" s="182"/>
      <c r="I18" s="192"/>
      <c r="J18" s="182"/>
      <c r="K18" s="46"/>
      <c r="L18" s="50"/>
    </row>
    <row r="19" spans="2:12" ht="112.5" customHeight="1">
      <c r="B19" s="47" t="s">
        <v>74</v>
      </c>
      <c r="C19" s="47" t="s">
        <v>192</v>
      </c>
      <c r="D19" s="47" t="s">
        <v>192</v>
      </c>
      <c r="E19" s="46"/>
      <c r="F19" s="50"/>
      <c r="G19" s="192"/>
      <c r="H19" s="182"/>
      <c r="I19" s="192"/>
      <c r="J19" s="182"/>
      <c r="K19" s="46"/>
      <c r="L19" s="50"/>
    </row>
    <row r="20" spans="2:12" ht="112.5" customHeight="1">
      <c r="B20" s="47" t="s">
        <v>74</v>
      </c>
      <c r="C20" s="47" t="s">
        <v>196</v>
      </c>
      <c r="D20" s="47" t="s">
        <v>196</v>
      </c>
      <c r="E20" s="46"/>
      <c r="F20" s="50"/>
      <c r="G20" s="192"/>
      <c r="H20" s="182"/>
      <c r="I20" s="192"/>
      <c r="J20" s="182"/>
      <c r="K20" s="46"/>
      <c r="L20" s="50"/>
    </row>
    <row r="21" spans="2:12" ht="112.5" customHeight="1">
      <c r="B21" s="47" t="s">
        <v>74</v>
      </c>
      <c r="C21" s="47" t="s">
        <v>193</v>
      </c>
      <c r="D21" s="47" t="s">
        <v>193</v>
      </c>
      <c r="E21" s="46"/>
      <c r="F21" s="50"/>
      <c r="G21" s="192"/>
      <c r="H21" s="182"/>
      <c r="I21" s="192"/>
      <c r="J21" s="182"/>
      <c r="K21" s="46"/>
      <c r="L21" s="50"/>
    </row>
    <row r="22" spans="2:12" ht="112.5" customHeight="1">
      <c r="B22" s="47" t="s">
        <v>74</v>
      </c>
      <c r="C22" s="47" t="s">
        <v>197</v>
      </c>
      <c r="D22" s="47" t="s">
        <v>197</v>
      </c>
      <c r="E22" s="46"/>
      <c r="F22" s="50"/>
      <c r="G22" s="192"/>
      <c r="H22" s="182"/>
      <c r="I22" s="192"/>
      <c r="J22" s="182"/>
      <c r="K22" s="46"/>
      <c r="L22" s="50"/>
    </row>
    <row r="23" spans="2:12" ht="112.5" customHeight="1">
      <c r="B23" s="47" t="s">
        <v>200</v>
      </c>
      <c r="C23" s="47" t="s">
        <v>199</v>
      </c>
      <c r="D23" s="47" t="s">
        <v>198</v>
      </c>
      <c r="E23" s="46"/>
      <c r="F23" s="50"/>
      <c r="G23" s="192"/>
      <c r="H23" s="182"/>
      <c r="I23" s="192"/>
      <c r="J23" s="182"/>
      <c r="K23" s="46"/>
      <c r="L23" s="50"/>
    </row>
    <row r="24" spans="2:12" ht="112.5" customHeight="1">
      <c r="B24" s="47" t="s">
        <v>74</v>
      </c>
      <c r="C24" s="47" t="s">
        <v>191</v>
      </c>
      <c r="D24" s="47" t="s">
        <v>191</v>
      </c>
      <c r="E24" s="46"/>
      <c r="F24" s="50"/>
      <c r="G24" s="192"/>
      <c r="H24" s="182"/>
      <c r="I24" s="192"/>
      <c r="J24" s="182"/>
      <c r="K24" s="46"/>
      <c r="L24" s="50"/>
    </row>
    <row r="25" spans="2:12" ht="45" customHeight="1">
      <c r="B25" s="47" t="s">
        <v>139</v>
      </c>
      <c r="C25" s="47" t="s">
        <v>202</v>
      </c>
      <c r="D25" s="47" t="s">
        <v>51</v>
      </c>
      <c r="E25" s="46"/>
      <c r="F25" s="50" t="s">
        <v>138</v>
      </c>
      <c r="G25" s="192"/>
      <c r="H25" s="182"/>
      <c r="I25" s="192"/>
      <c r="J25" s="182"/>
      <c r="K25" s="46"/>
      <c r="L25" s="50"/>
    </row>
    <row r="26" spans="2:12" ht="45" customHeight="1">
      <c r="B26" s="47" t="s">
        <v>49</v>
      </c>
      <c r="C26" s="47" t="s">
        <v>201</v>
      </c>
      <c r="D26" s="47" t="s">
        <v>118</v>
      </c>
      <c r="E26" s="46"/>
      <c r="F26" s="50" t="s">
        <v>119</v>
      </c>
      <c r="G26" s="192"/>
      <c r="H26" s="182"/>
      <c r="I26" s="192"/>
      <c r="J26" s="182"/>
      <c r="K26" s="46"/>
      <c r="L26" s="50"/>
    </row>
    <row r="27" spans="2:12" ht="45" customHeight="1">
      <c r="B27" s="47" t="s">
        <v>136</v>
      </c>
      <c r="C27" s="47" t="s">
        <v>209</v>
      </c>
      <c r="D27" s="47" t="s">
        <v>137</v>
      </c>
      <c r="E27" s="46"/>
      <c r="F27" s="50" t="s">
        <v>140</v>
      </c>
      <c r="G27" s="192"/>
      <c r="H27" s="182"/>
      <c r="I27" s="192"/>
      <c r="J27" s="182"/>
      <c r="K27" s="46"/>
      <c r="L27" s="50"/>
    </row>
    <row r="28" spans="2:12" ht="45" customHeight="1">
      <c r="B28" s="47" t="s">
        <v>206</v>
      </c>
      <c r="C28" s="47" t="s">
        <v>207</v>
      </c>
      <c r="D28" s="47" t="s">
        <v>76</v>
      </c>
      <c r="E28" s="46"/>
      <c r="F28" s="50" t="s">
        <v>114</v>
      </c>
      <c r="G28" s="192"/>
      <c r="H28" s="182"/>
      <c r="I28" s="192"/>
      <c r="J28" s="182"/>
      <c r="K28" s="46"/>
      <c r="L28" s="50"/>
    </row>
    <row r="29" spans="2:12" ht="45" customHeight="1">
      <c r="B29" s="47" t="s">
        <v>40</v>
      </c>
      <c r="C29" s="47" t="s">
        <v>208</v>
      </c>
      <c r="D29" s="47" t="s">
        <v>79</v>
      </c>
      <c r="E29" s="46"/>
      <c r="F29" s="50" t="s">
        <v>175</v>
      </c>
      <c r="G29" s="192"/>
      <c r="H29" s="182"/>
      <c r="I29" s="192"/>
      <c r="J29" s="182"/>
      <c r="K29" s="46"/>
      <c r="L29" s="50"/>
    </row>
    <row r="30" spans="2:12" ht="45" customHeight="1">
      <c r="B30" s="47" t="s">
        <v>73</v>
      </c>
      <c r="C30" s="47" t="s">
        <v>210</v>
      </c>
      <c r="D30" s="47" t="s">
        <v>81</v>
      </c>
      <c r="E30" s="46"/>
      <c r="F30" s="50" t="s">
        <v>112</v>
      </c>
      <c r="G30" s="192"/>
      <c r="H30" s="182"/>
      <c r="I30" s="192"/>
      <c r="J30" s="182"/>
      <c r="K30" s="46"/>
      <c r="L30" s="50"/>
    </row>
    <row r="31" spans="2:12" ht="45" customHeight="1">
      <c r="B31" s="47" t="s">
        <v>71</v>
      </c>
      <c r="C31" s="47" t="s">
        <v>211</v>
      </c>
      <c r="D31" s="47" t="s">
        <v>82</v>
      </c>
      <c r="E31" s="46"/>
      <c r="F31" s="50" t="s">
        <v>121</v>
      </c>
      <c r="G31" s="192"/>
      <c r="H31" s="182"/>
      <c r="I31" s="192"/>
      <c r="J31" s="182"/>
      <c r="K31" s="46"/>
      <c r="L31" s="50"/>
    </row>
    <row r="32" spans="2:12" ht="45" customHeight="1">
      <c r="B32" s="47" t="s">
        <v>55</v>
      </c>
      <c r="C32" s="47" t="s">
        <v>212</v>
      </c>
      <c r="D32" s="47" t="s">
        <v>78</v>
      </c>
      <c r="E32" s="46"/>
      <c r="F32" s="50" t="s">
        <v>148</v>
      </c>
      <c r="G32" s="192"/>
      <c r="H32" s="182"/>
      <c r="I32" s="192"/>
      <c r="J32" s="182"/>
      <c r="K32" s="46"/>
      <c r="L32" s="50"/>
    </row>
    <row r="33" spans="2:12" ht="45" customHeight="1">
      <c r="B33" s="47" t="s">
        <v>204</v>
      </c>
      <c r="C33" s="47" t="s">
        <v>204</v>
      </c>
      <c r="D33" s="47"/>
      <c r="E33" s="46"/>
      <c r="F33" s="50"/>
      <c r="G33" s="192"/>
      <c r="H33" s="182"/>
      <c r="I33" s="192"/>
      <c r="J33" s="182"/>
      <c r="K33" s="46"/>
      <c r="L33" s="50"/>
    </row>
    <row r="34" spans="2:12" ht="45" customHeight="1">
      <c r="B34" s="47" t="s">
        <v>77</v>
      </c>
      <c r="C34" s="47" t="s">
        <v>213</v>
      </c>
      <c r="D34" s="47" t="s">
        <v>80</v>
      </c>
      <c r="E34" s="46"/>
      <c r="F34" s="50" t="s">
        <v>124</v>
      </c>
      <c r="G34" s="192"/>
      <c r="H34" s="182"/>
      <c r="I34" s="192"/>
      <c r="J34" s="182"/>
      <c r="K34" s="46"/>
      <c r="L34" s="50"/>
    </row>
    <row r="35" spans="2:12" ht="45" customHeight="1">
      <c r="B35" s="47" t="s">
        <v>141</v>
      </c>
      <c r="C35" s="47"/>
      <c r="D35" s="47" t="s">
        <v>203</v>
      </c>
      <c r="E35" s="46"/>
      <c r="F35" s="50"/>
      <c r="G35" s="192"/>
      <c r="H35" s="182"/>
      <c r="I35" s="192"/>
      <c r="J35" s="182"/>
      <c r="K35" s="46"/>
      <c r="L35" s="50"/>
    </row>
    <row r="36" spans="2:12" ht="45" customHeight="1">
      <c r="B36" s="43" t="s">
        <v>150</v>
      </c>
      <c r="C36" s="43"/>
      <c r="D36" s="43" t="s">
        <v>146</v>
      </c>
      <c r="E36" s="42"/>
      <c r="F36" s="50"/>
      <c r="G36" s="193"/>
      <c r="H36" s="182"/>
      <c r="I36" s="193"/>
      <c r="J36" s="182"/>
      <c r="K36" s="42"/>
      <c r="L36" s="50"/>
    </row>
    <row r="37" spans="2:12" ht="45" customHeight="1">
      <c r="B37" s="261" t="s">
        <v>143</v>
      </c>
      <c r="C37" s="262"/>
      <c r="D37" s="263"/>
      <c r="E37" s="19">
        <f>SUM(E15:E36)</f>
        <v>0</v>
      </c>
      <c r="F37" s="130"/>
      <c r="G37" s="185">
        <f>SUM(G15:G36)</f>
        <v>0</v>
      </c>
      <c r="H37" s="186"/>
      <c r="I37" s="185">
        <f>SUM(I15:I36)</f>
        <v>0</v>
      </c>
      <c r="J37" s="186"/>
      <c r="K37" s="19">
        <f>SUM(K15:K36)</f>
        <v>0</v>
      </c>
      <c r="L37" s="130"/>
    </row>
    <row r="38" spans="2:12">
      <c r="B38" s="23"/>
      <c r="C38" s="23"/>
      <c r="D38" s="23"/>
      <c r="E38" s="24"/>
      <c r="F38" s="23"/>
      <c r="G38" s="194"/>
      <c r="H38" s="195"/>
      <c r="I38" s="194"/>
      <c r="J38" s="195"/>
      <c r="K38" s="25"/>
      <c r="L38" s="23"/>
    </row>
    <row r="39" spans="2:12" ht="19.5" customHeight="1">
      <c r="B39" s="26" t="s">
        <v>84</v>
      </c>
      <c r="C39" s="26"/>
      <c r="D39" s="27"/>
      <c r="E39" s="28"/>
      <c r="F39" s="27"/>
      <c r="G39" s="196"/>
      <c r="H39" s="197"/>
      <c r="I39" s="196"/>
      <c r="J39" s="197"/>
      <c r="K39" s="29"/>
      <c r="L39" s="27"/>
    </row>
    <row r="40" spans="2:12" ht="45" customHeight="1">
      <c r="B40" s="261" t="s">
        <v>144</v>
      </c>
      <c r="C40" s="262"/>
      <c r="D40" s="263"/>
      <c r="E40" s="18">
        <f>E10-E37</f>
        <v>0</v>
      </c>
      <c r="F40" s="129"/>
      <c r="G40" s="198">
        <f>G10-G37</f>
        <v>0</v>
      </c>
      <c r="H40" s="199"/>
      <c r="I40" s="185">
        <f>I10-I37</f>
        <v>0</v>
      </c>
      <c r="J40" s="199"/>
      <c r="K40" s="19">
        <f>K10-K37</f>
        <v>0</v>
      </c>
      <c r="L40" s="129"/>
    </row>
  </sheetData>
  <mergeCells count="15">
    <mergeCell ref="K4:L4"/>
    <mergeCell ref="K13:L13"/>
    <mergeCell ref="B37:D37"/>
    <mergeCell ref="B40:D40"/>
    <mergeCell ref="B10:D10"/>
    <mergeCell ref="B13:B14"/>
    <mergeCell ref="D13:D14"/>
    <mergeCell ref="E13:F13"/>
    <mergeCell ref="G13:H13"/>
    <mergeCell ref="I13:J13"/>
    <mergeCell ref="B4:B5"/>
    <mergeCell ref="D4:D5"/>
    <mergeCell ref="E4:F4"/>
    <mergeCell ref="G4:H4"/>
    <mergeCell ref="I4:J4"/>
  </mergeCells>
  <phoneticPr fontId="1"/>
  <pageMargins left="0.39370078740157483" right="0" top="0.78740157480314965" bottom="0.78740157480314965" header="0.51181102362204722" footer="0.51181102362204722"/>
  <pageSetup paperSize="8" scale="4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O55"/>
  <sheetViews>
    <sheetView tabSelected="1" view="pageBreakPreview" topLeftCell="A38" zoomScaleNormal="100" zoomScaleSheetLayoutView="100" workbookViewId="0">
      <selection activeCell="K27" sqref="K27:K28"/>
    </sheetView>
  </sheetViews>
  <sheetFormatPr defaultRowHeight="13.5"/>
  <cols>
    <col min="1" max="1" width="5.375" customWidth="1"/>
    <col min="2" max="2" width="2.625" customWidth="1"/>
    <col min="3" max="3" width="8.625" customWidth="1"/>
    <col min="4" max="4" width="12.625" customWidth="1"/>
    <col min="5" max="5" width="6.625" customWidth="1"/>
    <col min="6" max="10" width="10.625" customWidth="1"/>
    <col min="11" max="11" width="29.5" customWidth="1"/>
    <col min="12" max="12" width="9.25" bestFit="1" customWidth="1"/>
  </cols>
  <sheetData>
    <row r="1" spans="1:15">
      <c r="A1" t="s">
        <v>176</v>
      </c>
    </row>
    <row r="2" spans="1:15" ht="18" customHeight="1">
      <c r="A2" s="30" t="s">
        <v>88</v>
      </c>
      <c r="B2" s="31"/>
      <c r="C2" s="31"/>
      <c r="D2" s="31"/>
      <c r="E2" s="32"/>
      <c r="N2" s="33"/>
    </row>
    <row r="3" spans="1:15" ht="14.25" thickBot="1">
      <c r="E3" s="39"/>
    </row>
    <row r="4" spans="1:15" ht="18" customHeight="1" thickBot="1">
      <c r="A4" s="272" t="s">
        <v>164</v>
      </c>
      <c r="B4" s="273"/>
      <c r="C4" s="274"/>
      <c r="D4" s="292"/>
      <c r="E4" s="293"/>
      <c r="F4" s="293"/>
      <c r="G4" s="293"/>
      <c r="H4" s="163" t="s">
        <v>98</v>
      </c>
      <c r="I4" s="294"/>
      <c r="J4" s="295"/>
      <c r="K4" s="161"/>
      <c r="N4" s="33"/>
    </row>
    <row r="5" spans="1:15" ht="18" customHeight="1" thickBot="1">
      <c r="A5" s="287" t="s">
        <v>163</v>
      </c>
      <c r="B5" s="288"/>
      <c r="C5" s="289"/>
      <c r="D5" s="289"/>
      <c r="E5" s="290"/>
      <c r="F5" s="290"/>
      <c r="G5" s="290"/>
      <c r="H5" s="290"/>
      <c r="I5" s="290"/>
      <c r="J5" s="291"/>
      <c r="K5" s="162"/>
      <c r="N5" s="33"/>
    </row>
    <row r="6" spans="1:15" ht="9.9499999999999993" customHeight="1" thickBot="1">
      <c r="E6" s="40"/>
    </row>
    <row r="7" spans="1:15">
      <c r="A7" s="73"/>
      <c r="B7" s="74"/>
      <c r="C7" s="74"/>
      <c r="D7" s="74"/>
      <c r="E7" s="75"/>
      <c r="F7" s="55" t="s">
        <v>41</v>
      </c>
      <c r="G7" s="55" t="s">
        <v>42</v>
      </c>
      <c r="H7" s="55" t="s">
        <v>43</v>
      </c>
      <c r="I7" s="55" t="s">
        <v>68</v>
      </c>
      <c r="J7" s="55" t="s">
        <v>95</v>
      </c>
      <c r="K7" s="278" t="s">
        <v>96</v>
      </c>
    </row>
    <row r="8" spans="1:15">
      <c r="A8" s="76"/>
      <c r="B8" s="51"/>
      <c r="C8" s="51"/>
      <c r="D8" s="51"/>
      <c r="E8" s="77"/>
      <c r="F8" s="52" t="s">
        <v>177</v>
      </c>
      <c r="G8" s="52" t="s">
        <v>180</v>
      </c>
      <c r="H8" s="52" t="s">
        <v>181</v>
      </c>
      <c r="I8" s="52" t="s">
        <v>187</v>
      </c>
      <c r="J8" s="52" t="s">
        <v>94</v>
      </c>
      <c r="K8" s="279"/>
    </row>
    <row r="9" spans="1:15" ht="14.25" thickBot="1">
      <c r="A9" s="78"/>
      <c r="B9" s="79"/>
      <c r="C9" s="79"/>
      <c r="D9" s="79"/>
      <c r="E9" s="80"/>
      <c r="F9" s="60" t="s">
        <v>89</v>
      </c>
      <c r="G9" s="60" t="s">
        <v>90</v>
      </c>
      <c r="H9" s="60" t="s">
        <v>91</v>
      </c>
      <c r="I9" s="60" t="s">
        <v>92</v>
      </c>
      <c r="J9" s="60" t="s">
        <v>93</v>
      </c>
      <c r="K9" s="280"/>
    </row>
    <row r="10" spans="1:15" ht="30" customHeight="1">
      <c r="A10" s="59" t="s">
        <v>103</v>
      </c>
      <c r="B10" s="53"/>
      <c r="C10" s="53"/>
      <c r="D10" s="53"/>
      <c r="E10" s="54"/>
      <c r="F10" s="61">
        <f>+F13+F18+F19+F17</f>
        <v>0</v>
      </c>
      <c r="G10" s="61">
        <f t="shared" ref="G10:I10" si="0">+G13+G18+G19+G17</f>
        <v>0</v>
      </c>
      <c r="H10" s="61">
        <f t="shared" si="0"/>
        <v>0</v>
      </c>
      <c r="I10" s="61">
        <f t="shared" si="0"/>
        <v>0</v>
      </c>
      <c r="J10" s="61" t="str">
        <f t="shared" ref="J10:J48" si="1">IF(F10=0,"-",+I10/F10*100)</f>
        <v>-</v>
      </c>
      <c r="K10" s="62"/>
    </row>
    <row r="11" spans="1:15" ht="17.25" customHeight="1">
      <c r="A11" s="56"/>
      <c r="B11" s="281" t="s">
        <v>214</v>
      </c>
      <c r="C11" s="282"/>
      <c r="D11" s="63" t="s">
        <v>85</v>
      </c>
      <c r="E11" s="64"/>
      <c r="F11" s="133">
        <f>'(作成用)販売計画'!D5</f>
        <v>0</v>
      </c>
      <c r="G11" s="133"/>
      <c r="H11" s="133"/>
      <c r="I11" s="133"/>
      <c r="J11" s="105" t="str">
        <f t="shared" si="1"/>
        <v>-</v>
      </c>
      <c r="K11" s="275"/>
      <c r="L11" t="s">
        <v>100</v>
      </c>
      <c r="O11" s="34"/>
    </row>
    <row r="12" spans="1:15" ht="17.25" customHeight="1">
      <c r="A12" s="57"/>
      <c r="B12" s="283"/>
      <c r="C12" s="284"/>
      <c r="D12" s="65" t="s">
        <v>86</v>
      </c>
      <c r="E12" s="66"/>
      <c r="F12" s="134">
        <f>'(作成用)販売計画'!D7</f>
        <v>0</v>
      </c>
      <c r="G12" s="134"/>
      <c r="H12" s="134"/>
      <c r="I12" s="134"/>
      <c r="J12" s="106" t="str">
        <f t="shared" si="1"/>
        <v>-</v>
      </c>
      <c r="K12" s="276"/>
      <c r="L12" t="s">
        <v>99</v>
      </c>
      <c r="O12" s="34"/>
    </row>
    <row r="13" spans="1:15" ht="17.25" customHeight="1">
      <c r="A13" s="57"/>
      <c r="B13" s="285"/>
      <c r="C13" s="286"/>
      <c r="D13" s="67" t="s">
        <v>87</v>
      </c>
      <c r="E13" s="68"/>
      <c r="F13" s="135">
        <f>'(作成用)販売計画'!D9</f>
        <v>0</v>
      </c>
      <c r="G13" s="135"/>
      <c r="H13" s="135"/>
      <c r="I13" s="135"/>
      <c r="J13" s="61" t="str">
        <f t="shared" si="1"/>
        <v>-</v>
      </c>
      <c r="K13" s="277"/>
      <c r="O13" s="34"/>
    </row>
    <row r="14" spans="1:15" ht="17.25" customHeight="1">
      <c r="A14" s="56"/>
      <c r="B14" s="281" t="s">
        <v>215</v>
      </c>
      <c r="C14" s="282"/>
      <c r="D14" s="63" t="s">
        <v>85</v>
      </c>
      <c r="E14" s="64"/>
      <c r="F14" s="133">
        <f>'(作成用)販売計画'!D8</f>
        <v>0</v>
      </c>
      <c r="G14" s="133"/>
      <c r="H14" s="133"/>
      <c r="I14" s="133"/>
      <c r="J14" s="105" t="str">
        <f t="shared" ref="J14:J16" si="2">IF(F14=0,"-",+I14/F14*100)</f>
        <v>-</v>
      </c>
      <c r="K14" s="275"/>
      <c r="L14" t="s">
        <v>100</v>
      </c>
      <c r="O14" s="34"/>
    </row>
    <row r="15" spans="1:15" ht="17.25" customHeight="1">
      <c r="A15" s="57"/>
      <c r="B15" s="283"/>
      <c r="C15" s="284"/>
      <c r="D15" s="65" t="s">
        <v>86</v>
      </c>
      <c r="E15" s="66"/>
      <c r="F15" s="134">
        <f>'(作成用)販売計画'!D10</f>
        <v>0</v>
      </c>
      <c r="G15" s="134"/>
      <c r="H15" s="134"/>
      <c r="I15" s="134"/>
      <c r="J15" s="106" t="str">
        <f t="shared" si="2"/>
        <v>-</v>
      </c>
      <c r="K15" s="276"/>
      <c r="L15" t="s">
        <v>99</v>
      </c>
      <c r="O15" s="34"/>
    </row>
    <row r="16" spans="1:15" ht="17.25" customHeight="1">
      <c r="A16" s="57"/>
      <c r="B16" s="285"/>
      <c r="C16" s="286"/>
      <c r="D16" s="67" t="s">
        <v>87</v>
      </c>
      <c r="E16" s="68"/>
      <c r="F16" s="135">
        <f>'(作成用)販売計画'!D12</f>
        <v>0</v>
      </c>
      <c r="G16" s="135"/>
      <c r="H16" s="135"/>
      <c r="I16" s="135"/>
      <c r="J16" s="61" t="str">
        <f t="shared" si="2"/>
        <v>-</v>
      </c>
      <c r="K16" s="277"/>
      <c r="O16" s="34"/>
    </row>
    <row r="17" spans="1:15" ht="26.45" customHeight="1">
      <c r="A17" s="57"/>
      <c r="B17" s="266" t="s">
        <v>216</v>
      </c>
      <c r="C17" s="267"/>
      <c r="D17" s="267"/>
      <c r="E17" s="268"/>
      <c r="F17" s="135">
        <f>'(作成用)販売計画'!D14</f>
        <v>0</v>
      </c>
      <c r="G17" s="135"/>
      <c r="H17" s="135"/>
      <c r="I17" s="135"/>
      <c r="J17" s="107" t="str">
        <f t="shared" si="1"/>
        <v>-</v>
      </c>
      <c r="K17" s="164"/>
      <c r="O17" s="34"/>
    </row>
    <row r="18" spans="1:15" ht="30" customHeight="1">
      <c r="A18" s="57"/>
      <c r="B18" s="269" t="s">
        <v>168</v>
      </c>
      <c r="C18" s="270"/>
      <c r="D18" s="270"/>
      <c r="E18" s="271"/>
      <c r="F18" s="132">
        <f>SUM('(作成用)収支計画'!E7:E8)</f>
        <v>0</v>
      </c>
      <c r="G18" s="132"/>
      <c r="H18" s="132"/>
      <c r="I18" s="132"/>
      <c r="J18" s="107" t="str">
        <f>IF(F18=0,"-",+I18/F18*100)</f>
        <v>-</v>
      </c>
      <c r="K18" s="137" t="s">
        <v>172</v>
      </c>
      <c r="O18" s="34"/>
    </row>
    <row r="19" spans="1:15" ht="19.5" customHeight="1" thickBot="1">
      <c r="A19" s="58"/>
      <c r="B19" s="69" t="s">
        <v>169</v>
      </c>
      <c r="C19" s="69"/>
      <c r="D19" s="70"/>
      <c r="E19" s="71"/>
      <c r="F19" s="136">
        <f>'(作成用)収支計画'!E9</f>
        <v>0</v>
      </c>
      <c r="G19" s="136">
        <f>+F19</f>
        <v>0</v>
      </c>
      <c r="H19" s="136">
        <f>+F19</f>
        <v>0</v>
      </c>
      <c r="I19" s="136">
        <f>+F19</f>
        <v>0</v>
      </c>
      <c r="J19" s="108" t="str">
        <f t="shared" si="1"/>
        <v>-</v>
      </c>
      <c r="K19" s="138" t="s">
        <v>170</v>
      </c>
      <c r="O19" s="34"/>
    </row>
    <row r="20" spans="1:15" ht="30" customHeight="1">
      <c r="A20" s="90" t="s">
        <v>104</v>
      </c>
      <c r="B20" s="91"/>
      <c r="C20" s="91"/>
      <c r="D20" s="91"/>
      <c r="E20" s="92"/>
      <c r="F20" s="93">
        <f>SUMIF($L$21:$L$49,1,F$21:F$49)</f>
        <v>0</v>
      </c>
      <c r="G20" s="93">
        <f t="shared" ref="G20:I20" si="3">SUMIF($L$21:$L$49,1,G$21:G$49)</f>
        <v>0</v>
      </c>
      <c r="H20" s="93">
        <f t="shared" si="3"/>
        <v>0</v>
      </c>
      <c r="I20" s="93">
        <f t="shared" si="3"/>
        <v>0</v>
      </c>
      <c r="J20" s="93" t="str">
        <f t="shared" si="1"/>
        <v>-</v>
      </c>
      <c r="K20" s="94"/>
    </row>
    <row r="21" spans="1:15" ht="17.25" customHeight="1">
      <c r="A21" s="95"/>
      <c r="B21" s="81" t="s">
        <v>45</v>
      </c>
      <c r="C21" s="81"/>
      <c r="D21" s="85"/>
      <c r="E21" s="86" t="s">
        <v>110</v>
      </c>
      <c r="F21" s="109"/>
      <c r="G21" s="109"/>
      <c r="H21" s="109"/>
      <c r="I21" s="109"/>
      <c r="J21" s="116" t="str">
        <f t="shared" si="1"/>
        <v>-</v>
      </c>
      <c r="K21" s="296"/>
      <c r="L21" s="165">
        <v>1</v>
      </c>
    </row>
    <row r="22" spans="1:15" ht="17.25" customHeight="1">
      <c r="A22" s="95"/>
      <c r="B22" s="82"/>
      <c r="C22" s="87" t="s">
        <v>217</v>
      </c>
      <c r="D22" s="88"/>
      <c r="E22" s="89" t="s">
        <v>110</v>
      </c>
      <c r="F22" s="110"/>
      <c r="G22" s="110"/>
      <c r="H22" s="110"/>
      <c r="I22" s="110"/>
      <c r="J22" s="117" t="str">
        <f t="shared" si="1"/>
        <v>-</v>
      </c>
      <c r="K22" s="297"/>
      <c r="L22" s="165"/>
    </row>
    <row r="23" spans="1:15" ht="17.25" customHeight="1">
      <c r="A23" s="95"/>
      <c r="B23" s="81" t="s">
        <v>46</v>
      </c>
      <c r="C23" s="81"/>
      <c r="D23" s="85"/>
      <c r="E23" s="86" t="s">
        <v>110</v>
      </c>
      <c r="F23" s="109"/>
      <c r="G23" s="109"/>
      <c r="H23" s="109"/>
      <c r="I23" s="109"/>
      <c r="J23" s="116" t="str">
        <f t="shared" si="1"/>
        <v>-</v>
      </c>
      <c r="K23" s="296"/>
      <c r="L23" s="165">
        <v>1</v>
      </c>
    </row>
    <row r="24" spans="1:15" ht="17.25" customHeight="1">
      <c r="A24" s="95"/>
      <c r="B24" s="82"/>
      <c r="C24" s="87" t="s">
        <v>101</v>
      </c>
      <c r="D24" s="88"/>
      <c r="E24" s="89" t="s">
        <v>110</v>
      </c>
      <c r="F24" s="110"/>
      <c r="G24" s="110"/>
      <c r="H24" s="110"/>
      <c r="I24" s="110"/>
      <c r="J24" s="117" t="str">
        <f t="shared" si="1"/>
        <v>-</v>
      </c>
      <c r="K24" s="297"/>
      <c r="L24" s="165"/>
    </row>
    <row r="25" spans="1:15" ht="17.25" customHeight="1">
      <c r="A25" s="95"/>
      <c r="B25" s="81" t="s">
        <v>47</v>
      </c>
      <c r="C25" s="81"/>
      <c r="D25" s="85"/>
      <c r="E25" s="86" t="s">
        <v>110</v>
      </c>
      <c r="F25" s="109"/>
      <c r="G25" s="109"/>
      <c r="H25" s="109"/>
      <c r="I25" s="109"/>
      <c r="J25" s="116" t="str">
        <f t="shared" si="1"/>
        <v>-</v>
      </c>
      <c r="K25" s="296"/>
      <c r="L25" s="165">
        <v>1</v>
      </c>
    </row>
    <row r="26" spans="1:15" ht="17.25" customHeight="1">
      <c r="A26" s="95"/>
      <c r="B26" s="82"/>
      <c r="C26" s="87" t="s">
        <v>101</v>
      </c>
      <c r="D26" s="88"/>
      <c r="E26" s="89" t="s">
        <v>110</v>
      </c>
      <c r="F26" s="110"/>
      <c r="G26" s="110"/>
      <c r="H26" s="110"/>
      <c r="I26" s="110"/>
      <c r="J26" s="117" t="str">
        <f t="shared" si="1"/>
        <v>-</v>
      </c>
      <c r="K26" s="297"/>
      <c r="L26" s="165"/>
    </row>
    <row r="27" spans="1:15" ht="17.25" customHeight="1">
      <c r="A27" s="95"/>
      <c r="B27" s="81" t="s">
        <v>48</v>
      </c>
      <c r="C27" s="81"/>
      <c r="D27" s="85"/>
      <c r="E27" s="86" t="s">
        <v>110</v>
      </c>
      <c r="F27" s="109"/>
      <c r="G27" s="109"/>
      <c r="H27" s="109"/>
      <c r="I27" s="109"/>
      <c r="J27" s="116" t="str">
        <f t="shared" si="1"/>
        <v>-</v>
      </c>
      <c r="K27" s="296"/>
      <c r="L27" s="165">
        <v>1</v>
      </c>
    </row>
    <row r="28" spans="1:15" ht="17.25" customHeight="1">
      <c r="A28" s="95"/>
      <c r="B28" s="82"/>
      <c r="C28" s="87" t="s">
        <v>101</v>
      </c>
      <c r="D28" s="88"/>
      <c r="E28" s="89" t="s">
        <v>110</v>
      </c>
      <c r="F28" s="110"/>
      <c r="G28" s="110"/>
      <c r="H28" s="110"/>
      <c r="I28" s="110"/>
      <c r="J28" s="117" t="str">
        <f t="shared" si="1"/>
        <v>-</v>
      </c>
      <c r="K28" s="297"/>
      <c r="L28" s="165"/>
    </row>
    <row r="29" spans="1:15" ht="17.25" customHeight="1">
      <c r="A29" s="95"/>
      <c r="B29" s="81" t="s">
        <v>49</v>
      </c>
      <c r="C29" s="81"/>
      <c r="D29" s="85"/>
      <c r="E29" s="86" t="s">
        <v>110</v>
      </c>
      <c r="F29" s="109"/>
      <c r="G29" s="109"/>
      <c r="H29" s="109"/>
      <c r="I29" s="109"/>
      <c r="J29" s="116" t="str">
        <f t="shared" si="1"/>
        <v>-</v>
      </c>
      <c r="K29" s="296"/>
      <c r="L29" s="165">
        <v>1</v>
      </c>
    </row>
    <row r="30" spans="1:15" ht="17.25" customHeight="1">
      <c r="A30" s="95"/>
      <c r="B30" s="82"/>
      <c r="C30" s="87" t="s">
        <v>101</v>
      </c>
      <c r="D30" s="88"/>
      <c r="E30" s="89" t="s">
        <v>110</v>
      </c>
      <c r="F30" s="110"/>
      <c r="G30" s="110"/>
      <c r="H30" s="110"/>
      <c r="I30" s="110"/>
      <c r="J30" s="117" t="str">
        <f t="shared" si="1"/>
        <v>-</v>
      </c>
      <c r="K30" s="297"/>
      <c r="L30" s="165"/>
    </row>
    <row r="31" spans="1:15" ht="17.25" customHeight="1">
      <c r="A31" s="95"/>
      <c r="B31" s="81" t="s">
        <v>54</v>
      </c>
      <c r="C31" s="81"/>
      <c r="D31" s="85"/>
      <c r="E31" s="86" t="s">
        <v>110</v>
      </c>
      <c r="F31" s="109"/>
      <c r="G31" s="109"/>
      <c r="H31" s="109"/>
      <c r="I31" s="109"/>
      <c r="J31" s="116" t="str">
        <f t="shared" si="1"/>
        <v>-</v>
      </c>
      <c r="K31" s="296"/>
      <c r="L31" s="165">
        <v>1</v>
      </c>
    </row>
    <row r="32" spans="1:15" ht="17.25" customHeight="1">
      <c r="A32" s="95"/>
      <c r="B32" s="82"/>
      <c r="C32" s="87" t="s">
        <v>101</v>
      </c>
      <c r="D32" s="88"/>
      <c r="E32" s="89" t="s">
        <v>110</v>
      </c>
      <c r="F32" s="110"/>
      <c r="G32" s="110"/>
      <c r="H32" s="110"/>
      <c r="I32" s="110"/>
      <c r="J32" s="117" t="str">
        <f t="shared" si="1"/>
        <v>-</v>
      </c>
      <c r="K32" s="297"/>
      <c r="L32" s="165"/>
    </row>
    <row r="33" spans="1:12" ht="17.25" customHeight="1">
      <c r="A33" s="95"/>
      <c r="B33" s="81" t="s">
        <v>73</v>
      </c>
      <c r="C33" s="81"/>
      <c r="D33" s="85"/>
      <c r="E33" s="86" t="s">
        <v>110</v>
      </c>
      <c r="F33" s="109"/>
      <c r="G33" s="109"/>
      <c r="H33" s="109"/>
      <c r="I33" s="109"/>
      <c r="J33" s="116" t="str">
        <f t="shared" si="1"/>
        <v>-</v>
      </c>
      <c r="K33" s="296"/>
      <c r="L33" s="165">
        <v>1</v>
      </c>
    </row>
    <row r="34" spans="1:12" ht="17.25" customHeight="1">
      <c r="A34" s="95"/>
      <c r="B34" s="82"/>
      <c r="C34" s="87" t="s">
        <v>101</v>
      </c>
      <c r="D34" s="88"/>
      <c r="E34" s="89" t="s">
        <v>110</v>
      </c>
      <c r="F34" s="110"/>
      <c r="G34" s="110"/>
      <c r="H34" s="110"/>
      <c r="I34" s="110"/>
      <c r="J34" s="117" t="str">
        <f t="shared" si="1"/>
        <v>-</v>
      </c>
      <c r="K34" s="297"/>
      <c r="L34" s="165"/>
    </row>
    <row r="35" spans="1:12" ht="17.25" customHeight="1">
      <c r="A35" s="95"/>
      <c r="B35" s="81" t="s">
        <v>105</v>
      </c>
      <c r="C35" s="81"/>
      <c r="D35" s="85"/>
      <c r="E35" s="86" t="s">
        <v>110</v>
      </c>
      <c r="F35" s="109"/>
      <c r="G35" s="109"/>
      <c r="H35" s="109"/>
      <c r="I35" s="109"/>
      <c r="J35" s="116" t="str">
        <f t="shared" si="1"/>
        <v>-</v>
      </c>
      <c r="K35" s="296"/>
      <c r="L35" s="165">
        <v>1</v>
      </c>
    </row>
    <row r="36" spans="1:12" ht="17.25" customHeight="1">
      <c r="A36" s="95"/>
      <c r="B36" s="82"/>
      <c r="C36" s="87" t="s">
        <v>101</v>
      </c>
      <c r="D36" s="88"/>
      <c r="E36" s="89" t="s">
        <v>110</v>
      </c>
      <c r="F36" s="110"/>
      <c r="G36" s="111"/>
      <c r="H36" s="111"/>
      <c r="I36" s="111"/>
      <c r="J36" s="117" t="str">
        <f t="shared" si="1"/>
        <v>-</v>
      </c>
      <c r="K36" s="297"/>
      <c r="L36" s="165"/>
    </row>
    <row r="37" spans="1:12" ht="17.25" customHeight="1">
      <c r="A37" s="95"/>
      <c r="B37" s="81" t="s">
        <v>53</v>
      </c>
      <c r="C37" s="81"/>
      <c r="D37" s="85"/>
      <c r="E37" s="86" t="s">
        <v>110</v>
      </c>
      <c r="F37" s="109"/>
      <c r="G37" s="109"/>
      <c r="H37" s="109"/>
      <c r="I37" s="109"/>
      <c r="J37" s="116" t="str">
        <f t="shared" si="1"/>
        <v>-</v>
      </c>
      <c r="K37" s="296"/>
      <c r="L37" s="165">
        <v>1</v>
      </c>
    </row>
    <row r="38" spans="1:12" ht="17.25" customHeight="1">
      <c r="A38" s="95"/>
      <c r="B38" s="82"/>
      <c r="C38" s="87" t="s">
        <v>101</v>
      </c>
      <c r="D38" s="88"/>
      <c r="E38" s="89" t="s">
        <v>110</v>
      </c>
      <c r="F38" s="110"/>
      <c r="G38" s="110"/>
      <c r="H38" s="110"/>
      <c r="I38" s="110"/>
      <c r="J38" s="117" t="str">
        <f t="shared" si="1"/>
        <v>-</v>
      </c>
      <c r="K38" s="297"/>
      <c r="L38" s="165"/>
    </row>
    <row r="39" spans="1:12" ht="17.25" customHeight="1">
      <c r="A39" s="95"/>
      <c r="B39" s="81" t="s">
        <v>55</v>
      </c>
      <c r="C39" s="81"/>
      <c r="D39" s="85"/>
      <c r="E39" s="86" t="s">
        <v>110</v>
      </c>
      <c r="F39" s="109"/>
      <c r="G39" s="109"/>
      <c r="H39" s="109"/>
      <c r="I39" s="109"/>
      <c r="J39" s="116" t="str">
        <f t="shared" si="1"/>
        <v>-</v>
      </c>
      <c r="K39" s="296"/>
      <c r="L39" s="165">
        <v>1</v>
      </c>
    </row>
    <row r="40" spans="1:12" ht="17.25" customHeight="1">
      <c r="A40" s="95"/>
      <c r="B40" s="82"/>
      <c r="C40" s="87" t="s">
        <v>101</v>
      </c>
      <c r="D40" s="88"/>
      <c r="E40" s="89" t="s">
        <v>110</v>
      </c>
      <c r="F40" s="110"/>
      <c r="G40" s="110"/>
      <c r="H40" s="110"/>
      <c r="I40" s="110"/>
      <c r="J40" s="117" t="str">
        <f t="shared" si="1"/>
        <v>-</v>
      </c>
      <c r="K40" s="298"/>
      <c r="L40" s="165"/>
    </row>
    <row r="41" spans="1:12" ht="17.25" customHeight="1">
      <c r="A41" s="95"/>
      <c r="B41" s="81" t="s">
        <v>52</v>
      </c>
      <c r="C41" s="81"/>
      <c r="D41" s="85"/>
      <c r="E41" s="86" t="s">
        <v>110</v>
      </c>
      <c r="F41" s="109"/>
      <c r="G41" s="109"/>
      <c r="H41" s="109"/>
      <c r="I41" s="109"/>
      <c r="J41" s="116" t="str">
        <f t="shared" si="1"/>
        <v>-</v>
      </c>
      <c r="K41" s="296"/>
      <c r="L41" s="165">
        <v>1</v>
      </c>
    </row>
    <row r="42" spans="1:12" ht="17.25" customHeight="1">
      <c r="A42" s="95"/>
      <c r="B42" s="82"/>
      <c r="C42" s="87" t="s">
        <v>101</v>
      </c>
      <c r="D42" s="88"/>
      <c r="E42" s="89" t="s">
        <v>110</v>
      </c>
      <c r="F42" s="110"/>
      <c r="G42" s="111"/>
      <c r="H42" s="111"/>
      <c r="I42" s="111"/>
      <c r="J42" s="117" t="str">
        <f t="shared" si="1"/>
        <v>-</v>
      </c>
      <c r="K42" s="297"/>
      <c r="L42" s="165"/>
    </row>
    <row r="43" spans="1:12" ht="30" customHeight="1">
      <c r="A43" s="95"/>
      <c r="B43" s="72" t="s">
        <v>44</v>
      </c>
      <c r="C43" s="72"/>
      <c r="D43" s="83"/>
      <c r="E43" s="84" t="s">
        <v>110</v>
      </c>
      <c r="F43" s="112"/>
      <c r="G43" s="112"/>
      <c r="H43" s="112"/>
      <c r="I43" s="112"/>
      <c r="J43" s="118" t="str">
        <f t="shared" si="1"/>
        <v>-</v>
      </c>
      <c r="K43" s="120"/>
      <c r="L43" s="166">
        <v>1</v>
      </c>
    </row>
    <row r="44" spans="1:12" ht="30" customHeight="1">
      <c r="A44" s="95"/>
      <c r="B44" s="72" t="s">
        <v>40</v>
      </c>
      <c r="C44" s="72"/>
      <c r="D44" s="83"/>
      <c r="E44" s="84" t="s">
        <v>110</v>
      </c>
      <c r="F44" s="112"/>
      <c r="G44" s="113"/>
      <c r="H44" s="113"/>
      <c r="I44" s="113"/>
      <c r="J44" s="118" t="str">
        <f t="shared" si="1"/>
        <v>-</v>
      </c>
      <c r="K44" s="120"/>
      <c r="L44" s="165">
        <v>1</v>
      </c>
    </row>
    <row r="45" spans="1:12" ht="30" customHeight="1">
      <c r="A45" s="95"/>
      <c r="B45" s="81" t="s">
        <v>50</v>
      </c>
      <c r="C45" s="72"/>
      <c r="D45" s="83"/>
      <c r="E45" s="84" t="s">
        <v>102</v>
      </c>
      <c r="F45" s="112"/>
      <c r="G45" s="113"/>
      <c r="H45" s="113"/>
      <c r="I45" s="113"/>
      <c r="J45" s="118" t="str">
        <f t="shared" si="1"/>
        <v>-</v>
      </c>
      <c r="K45" s="120"/>
      <c r="L45" s="166">
        <v>1</v>
      </c>
    </row>
    <row r="46" spans="1:12" ht="30" customHeight="1">
      <c r="A46" s="95"/>
      <c r="B46" s="81" t="s">
        <v>51</v>
      </c>
      <c r="C46" s="72"/>
      <c r="D46" s="83"/>
      <c r="E46" s="84" t="s">
        <v>102</v>
      </c>
      <c r="F46" s="112"/>
      <c r="G46" s="113"/>
      <c r="H46" s="113"/>
      <c r="I46" s="113"/>
      <c r="J46" s="118" t="str">
        <f t="shared" si="1"/>
        <v>-</v>
      </c>
      <c r="K46" s="120"/>
      <c r="L46" s="165">
        <v>1</v>
      </c>
    </row>
    <row r="47" spans="1:12" ht="30" customHeight="1">
      <c r="A47" s="95"/>
      <c r="B47" s="72" t="s">
        <v>173</v>
      </c>
      <c r="C47" s="72"/>
      <c r="D47" s="83"/>
      <c r="E47" s="84" t="s">
        <v>102</v>
      </c>
      <c r="F47" s="112"/>
      <c r="G47" s="113"/>
      <c r="H47" s="113"/>
      <c r="I47" s="113"/>
      <c r="J47" s="118" t="str">
        <f t="shared" si="1"/>
        <v>-</v>
      </c>
      <c r="K47" s="120"/>
      <c r="L47" s="166">
        <v>1</v>
      </c>
    </row>
    <row r="48" spans="1:12" ht="30" customHeight="1">
      <c r="A48" s="95"/>
      <c r="B48" s="72" t="s">
        <v>142</v>
      </c>
      <c r="C48" s="72"/>
      <c r="D48" s="83"/>
      <c r="E48" s="84" t="s">
        <v>147</v>
      </c>
      <c r="F48" s="112"/>
      <c r="G48" s="113"/>
      <c r="H48" s="113"/>
      <c r="I48" s="113"/>
      <c r="J48" s="118" t="str">
        <f t="shared" si="1"/>
        <v>-</v>
      </c>
      <c r="K48" s="120"/>
      <c r="L48" s="165">
        <v>1</v>
      </c>
    </row>
    <row r="49" spans="1:12" ht="30" customHeight="1" thickBot="1">
      <c r="A49" s="96"/>
      <c r="B49" s="97" t="s">
        <v>152</v>
      </c>
      <c r="C49" s="97"/>
      <c r="D49" s="98"/>
      <c r="E49" s="99" t="s">
        <v>102</v>
      </c>
      <c r="F49" s="114"/>
      <c r="G49" s="115"/>
      <c r="H49" s="115"/>
      <c r="I49" s="115"/>
      <c r="J49" s="119" t="str">
        <f>IF(F49=0,"-",+I49/F49*100)</f>
        <v>-</v>
      </c>
      <c r="K49" s="121"/>
      <c r="L49" s="166">
        <v>1</v>
      </c>
    </row>
    <row r="50" spans="1:12" ht="30" customHeight="1" thickBot="1">
      <c r="A50" s="100" t="s">
        <v>115</v>
      </c>
      <c r="B50" s="101"/>
      <c r="C50" s="101"/>
      <c r="D50" s="101" t="s">
        <v>116</v>
      </c>
      <c r="E50" s="102"/>
      <c r="F50" s="103">
        <f>+F10-F20</f>
        <v>0</v>
      </c>
      <c r="G50" s="103">
        <f t="shared" ref="G50:I50" si="4">+G10-G20</f>
        <v>0</v>
      </c>
      <c r="H50" s="103">
        <f t="shared" si="4"/>
        <v>0</v>
      </c>
      <c r="I50" s="103">
        <f t="shared" si="4"/>
        <v>0</v>
      </c>
      <c r="J50" s="103" t="str">
        <f t="shared" ref="J50" si="5">IF(F50=0,"-",+I50/F50*100)</f>
        <v>-</v>
      </c>
      <c r="K50" s="104"/>
    </row>
    <row r="51" spans="1:12" ht="30" customHeight="1" thickBot="1">
      <c r="A51" s="100" t="s">
        <v>117</v>
      </c>
      <c r="B51" s="101"/>
      <c r="C51" s="101"/>
      <c r="D51" s="101" t="s">
        <v>106</v>
      </c>
      <c r="E51" s="102"/>
      <c r="F51" s="103">
        <f>+F10-F20+F35</f>
        <v>0</v>
      </c>
      <c r="G51" s="103">
        <f>+G10-G20+G35</f>
        <v>0</v>
      </c>
      <c r="H51" s="103">
        <f>+H10-H20+H35</f>
        <v>0</v>
      </c>
      <c r="I51" s="103">
        <f>+I10-I20+I35</f>
        <v>0</v>
      </c>
      <c r="J51" s="103" t="str">
        <f>IF(F51=0,"-",+I51/F51*100)</f>
        <v>-</v>
      </c>
      <c r="K51" s="160"/>
    </row>
    <row r="52" spans="1:12" ht="15" customHeight="1">
      <c r="A52" t="s">
        <v>157</v>
      </c>
    </row>
    <row r="53" spans="1:12" ht="15" customHeight="1">
      <c r="A53" t="s">
        <v>158</v>
      </c>
    </row>
    <row r="54" spans="1:12" ht="15" customHeight="1">
      <c r="A54" s="1" t="s">
        <v>160</v>
      </c>
    </row>
    <row r="55" spans="1:12" ht="18" customHeight="1">
      <c r="A55" s="37"/>
    </row>
  </sheetData>
  <mergeCells count="23">
    <mergeCell ref="K33:K34"/>
    <mergeCell ref="K35:K36"/>
    <mergeCell ref="K37:K38"/>
    <mergeCell ref="K39:K40"/>
    <mergeCell ref="K41:K42"/>
    <mergeCell ref="K31:K32"/>
    <mergeCell ref="K21:K22"/>
    <mergeCell ref="K23:K24"/>
    <mergeCell ref="K25:K26"/>
    <mergeCell ref="K27:K28"/>
    <mergeCell ref="K29:K30"/>
    <mergeCell ref="B17:E17"/>
    <mergeCell ref="B18:E18"/>
    <mergeCell ref="A4:C4"/>
    <mergeCell ref="K11:K13"/>
    <mergeCell ref="K7:K9"/>
    <mergeCell ref="B11:C13"/>
    <mergeCell ref="A5:C5"/>
    <mergeCell ref="D5:J5"/>
    <mergeCell ref="D4:G4"/>
    <mergeCell ref="I4:J4"/>
    <mergeCell ref="B14:C16"/>
    <mergeCell ref="K14:K16"/>
  </mergeCells>
  <phoneticPr fontId="1"/>
  <pageMargins left="0.70866141732283472" right="0.70866141732283472" top="0.74803149606299213" bottom="0.74803149606299213" header="0.31496062992125984" footer="0.31496062992125984"/>
  <pageSetup paperSize="9" scale="75"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2"/>
  <sheetViews>
    <sheetView view="pageBreakPreview" zoomScaleNormal="100" zoomScaleSheetLayoutView="100" workbookViewId="0">
      <selection activeCell="B2" sqref="B2"/>
    </sheetView>
  </sheetViews>
  <sheetFormatPr defaultColWidth="9" defaultRowHeight="13.5"/>
  <cols>
    <col min="1" max="1" width="10.625" style="2" customWidth="1"/>
    <col min="2" max="2" width="9.625" style="2" customWidth="1"/>
    <col min="3" max="3" width="8.25" style="2" bestFit="1" customWidth="1"/>
    <col min="4" max="4" width="10.625" style="2" customWidth="1"/>
    <col min="5" max="5" width="6.625" style="2" customWidth="1"/>
    <col min="6" max="6" width="10.625" style="2" customWidth="1"/>
    <col min="7" max="7" width="6.625" style="2" customWidth="1"/>
    <col min="8" max="8" width="10.625" style="2" customWidth="1"/>
    <col min="9" max="9" width="6.625" style="2" customWidth="1"/>
    <col min="10" max="10" width="10.625" style="2" customWidth="1"/>
    <col min="11" max="11" width="6.625" style="2" customWidth="1"/>
    <col min="12" max="12" width="15.625" style="2" customWidth="1"/>
    <col min="13" max="16384" width="9" style="2"/>
  </cols>
  <sheetData>
    <row r="1" spans="1:12" ht="18.75">
      <c r="A1" s="243" t="s">
        <v>2</v>
      </c>
      <c r="B1" s="243"/>
      <c r="C1" s="243"/>
      <c r="D1" s="243"/>
      <c r="E1" s="243"/>
      <c r="F1" s="243"/>
      <c r="G1" s="243"/>
      <c r="H1" s="243"/>
      <c r="I1" s="243"/>
      <c r="J1" s="243"/>
      <c r="K1" s="243"/>
      <c r="L1" s="243"/>
    </row>
    <row r="2" spans="1:12">
      <c r="G2" s="3"/>
    </row>
    <row r="3" spans="1:12">
      <c r="A3" s="2" t="s">
        <v>3</v>
      </c>
      <c r="G3" s="3"/>
    </row>
    <row r="4" spans="1:12">
      <c r="A4" s="170" t="s">
        <v>159</v>
      </c>
      <c r="B4" s="258" t="s">
        <v>83</v>
      </c>
      <c r="C4" s="258"/>
      <c r="D4" s="254" t="s">
        <v>41</v>
      </c>
      <c r="E4" s="254"/>
      <c r="F4" s="254" t="s">
        <v>178</v>
      </c>
      <c r="G4" s="254"/>
      <c r="H4" s="254" t="s">
        <v>179</v>
      </c>
      <c r="I4" s="254"/>
      <c r="J4" s="254" t="s">
        <v>182</v>
      </c>
      <c r="K4" s="254"/>
      <c r="L4" s="170" t="s">
        <v>154</v>
      </c>
    </row>
    <row r="5" spans="1:12">
      <c r="A5" s="255" t="s">
        <v>4</v>
      </c>
      <c r="B5" s="152" t="s">
        <v>5</v>
      </c>
      <c r="C5" s="155" t="s">
        <v>6</v>
      </c>
      <c r="D5" s="5">
        <v>1590</v>
      </c>
      <c r="E5" s="36" t="s">
        <v>0</v>
      </c>
      <c r="F5" s="5">
        <v>1716</v>
      </c>
      <c r="G5" s="36" t="s">
        <v>0</v>
      </c>
      <c r="H5" s="5">
        <v>1921</v>
      </c>
      <c r="I5" s="36" t="s">
        <v>0</v>
      </c>
      <c r="J5" s="5">
        <v>2532</v>
      </c>
      <c r="K5" s="36" t="s">
        <v>0</v>
      </c>
      <c r="L5" s="246" t="s">
        <v>166</v>
      </c>
    </row>
    <row r="6" spans="1:12">
      <c r="A6" s="252"/>
      <c r="B6" s="153" t="s">
        <v>7</v>
      </c>
      <c r="C6" s="156" t="s">
        <v>8</v>
      </c>
      <c r="D6" s="6">
        <v>422</v>
      </c>
      <c r="E6" s="7" t="s">
        <v>9</v>
      </c>
      <c r="F6" s="6">
        <v>430</v>
      </c>
      <c r="G6" s="7" t="s">
        <v>9</v>
      </c>
      <c r="H6" s="6">
        <v>430</v>
      </c>
      <c r="I6" s="7" t="s">
        <v>9</v>
      </c>
      <c r="J6" s="6">
        <v>430</v>
      </c>
      <c r="K6" s="7" t="s">
        <v>9</v>
      </c>
      <c r="L6" s="247"/>
    </row>
    <row r="7" spans="1:12">
      <c r="A7" s="252"/>
      <c r="B7" s="153" t="s">
        <v>10</v>
      </c>
      <c r="C7" s="156" t="s">
        <v>155</v>
      </c>
      <c r="D7" s="6">
        <f>D5*D6/10</f>
        <v>67098</v>
      </c>
      <c r="E7" s="7" t="s">
        <v>11</v>
      </c>
      <c r="F7" s="6">
        <f>F5*F6/10</f>
        <v>73788</v>
      </c>
      <c r="G7" s="7" t="s">
        <v>11</v>
      </c>
      <c r="H7" s="6">
        <f>H5*H6/10</f>
        <v>82603</v>
      </c>
      <c r="I7" s="7" t="s">
        <v>11</v>
      </c>
      <c r="J7" s="6">
        <f>J5*J6/10</f>
        <v>108876</v>
      </c>
      <c r="K7" s="7" t="s">
        <v>11</v>
      </c>
      <c r="L7" s="247"/>
    </row>
    <row r="8" spans="1:12">
      <c r="A8" s="252"/>
      <c r="B8" s="153" t="s">
        <v>12</v>
      </c>
      <c r="C8" s="156" t="s">
        <v>13</v>
      </c>
      <c r="D8" s="6">
        <v>182</v>
      </c>
      <c r="E8" s="7" t="s">
        <v>14</v>
      </c>
      <c r="F8" s="6">
        <v>193</v>
      </c>
      <c r="G8" s="7" t="s">
        <v>14</v>
      </c>
      <c r="H8" s="6">
        <v>193</v>
      </c>
      <c r="I8" s="7" t="s">
        <v>14</v>
      </c>
      <c r="J8" s="6">
        <v>193</v>
      </c>
      <c r="K8" s="7" t="s">
        <v>14</v>
      </c>
      <c r="L8" s="247"/>
    </row>
    <row r="9" spans="1:12">
      <c r="A9" s="253"/>
      <c r="B9" s="154" t="s">
        <v>15</v>
      </c>
      <c r="C9" s="157" t="s">
        <v>16</v>
      </c>
      <c r="D9" s="8">
        <f>D7*D8</f>
        <v>12211836</v>
      </c>
      <c r="E9" s="9" t="s">
        <v>17</v>
      </c>
      <c r="F9" s="8">
        <f>F7*F8</f>
        <v>14241084</v>
      </c>
      <c r="G9" s="9" t="s">
        <v>17</v>
      </c>
      <c r="H9" s="8">
        <f>H7*H8</f>
        <v>15942379</v>
      </c>
      <c r="I9" s="9" t="s">
        <v>17</v>
      </c>
      <c r="J9" s="8">
        <f>J7*J8</f>
        <v>21013068</v>
      </c>
      <c r="K9" s="9" t="s">
        <v>17</v>
      </c>
      <c r="L9" s="248"/>
    </row>
    <row r="10" spans="1:12">
      <c r="A10" s="255" t="s">
        <v>70</v>
      </c>
      <c r="B10" s="152" t="s">
        <v>5</v>
      </c>
      <c r="C10" s="155" t="s">
        <v>61</v>
      </c>
      <c r="D10" s="5">
        <v>80</v>
      </c>
      <c r="E10" s="36" t="s">
        <v>56</v>
      </c>
      <c r="F10" s="5">
        <v>80</v>
      </c>
      <c r="G10" s="36" t="s">
        <v>56</v>
      </c>
      <c r="H10" s="5">
        <v>80</v>
      </c>
      <c r="I10" s="36" t="s">
        <v>56</v>
      </c>
      <c r="J10" s="5">
        <v>80</v>
      </c>
      <c r="K10" s="36" t="s">
        <v>56</v>
      </c>
      <c r="L10" s="246" t="s">
        <v>156</v>
      </c>
    </row>
    <row r="11" spans="1:12">
      <c r="A11" s="252"/>
      <c r="B11" s="153" t="s">
        <v>7</v>
      </c>
      <c r="C11" s="156" t="s">
        <v>62</v>
      </c>
      <c r="D11" s="6">
        <v>5810</v>
      </c>
      <c r="E11" s="7" t="s">
        <v>57</v>
      </c>
      <c r="F11" s="6">
        <v>5810</v>
      </c>
      <c r="G11" s="7" t="s">
        <v>57</v>
      </c>
      <c r="H11" s="6">
        <v>5810</v>
      </c>
      <c r="I11" s="7" t="s">
        <v>57</v>
      </c>
      <c r="J11" s="6">
        <v>5810</v>
      </c>
      <c r="K11" s="7" t="s">
        <v>57</v>
      </c>
      <c r="L11" s="247"/>
    </row>
    <row r="12" spans="1:12">
      <c r="A12" s="252"/>
      <c r="B12" s="153" t="s">
        <v>10</v>
      </c>
      <c r="C12" s="156" t="s">
        <v>155</v>
      </c>
      <c r="D12" s="6">
        <f>D10*D11/10</f>
        <v>46480</v>
      </c>
      <c r="E12" s="7" t="s">
        <v>58</v>
      </c>
      <c r="F12" s="6">
        <f>F10*F11/10</f>
        <v>46480</v>
      </c>
      <c r="G12" s="7" t="s">
        <v>58</v>
      </c>
      <c r="H12" s="6">
        <f>H10*H11/10</f>
        <v>46480</v>
      </c>
      <c r="I12" s="7" t="s">
        <v>58</v>
      </c>
      <c r="J12" s="6">
        <f>J10*J11/10</f>
        <v>46480</v>
      </c>
      <c r="K12" s="7" t="s">
        <v>58</v>
      </c>
      <c r="L12" s="247"/>
    </row>
    <row r="13" spans="1:12">
      <c r="A13" s="252"/>
      <c r="B13" s="153" t="s">
        <v>12</v>
      </c>
      <c r="C13" s="156" t="s">
        <v>63</v>
      </c>
      <c r="D13" s="6">
        <v>72</v>
      </c>
      <c r="E13" s="7" t="s">
        <v>59</v>
      </c>
      <c r="F13" s="6">
        <v>72</v>
      </c>
      <c r="G13" s="7" t="s">
        <v>59</v>
      </c>
      <c r="H13" s="6">
        <v>72</v>
      </c>
      <c r="I13" s="7" t="s">
        <v>59</v>
      </c>
      <c r="J13" s="6">
        <v>72</v>
      </c>
      <c r="K13" s="7" t="s">
        <v>59</v>
      </c>
      <c r="L13" s="247"/>
    </row>
    <row r="14" spans="1:12">
      <c r="A14" s="253"/>
      <c r="B14" s="154" t="s">
        <v>15</v>
      </c>
      <c r="C14" s="157" t="s">
        <v>64</v>
      </c>
      <c r="D14" s="8">
        <f>+D12*D13</f>
        <v>3346560</v>
      </c>
      <c r="E14" s="9" t="s">
        <v>60</v>
      </c>
      <c r="F14" s="8">
        <f t="shared" ref="F14" si="0">+F12*F13</f>
        <v>3346560</v>
      </c>
      <c r="G14" s="9" t="s">
        <v>60</v>
      </c>
      <c r="H14" s="8">
        <f t="shared" ref="H14" si="1">+H12*H13</f>
        <v>3346560</v>
      </c>
      <c r="I14" s="9" t="s">
        <v>60</v>
      </c>
      <c r="J14" s="8">
        <f t="shared" ref="J14" si="2">+J12*J13</f>
        <v>3346560</v>
      </c>
      <c r="K14" s="9" t="s">
        <v>60</v>
      </c>
      <c r="L14" s="248"/>
    </row>
    <row r="15" spans="1:12">
      <c r="A15" s="255"/>
      <c r="B15" s="152" t="s">
        <v>5</v>
      </c>
      <c r="C15" s="155" t="s">
        <v>18</v>
      </c>
      <c r="D15" s="5"/>
      <c r="E15" s="36" t="s">
        <v>0</v>
      </c>
      <c r="F15" s="5"/>
      <c r="G15" s="36" t="s">
        <v>0</v>
      </c>
      <c r="H15" s="5"/>
      <c r="I15" s="36" t="s">
        <v>0</v>
      </c>
      <c r="J15" s="5"/>
      <c r="K15" s="36" t="s">
        <v>0</v>
      </c>
      <c r="L15" s="246"/>
    </row>
    <row r="16" spans="1:12">
      <c r="A16" s="252"/>
      <c r="B16" s="153" t="s">
        <v>7</v>
      </c>
      <c r="C16" s="156" t="s">
        <v>19</v>
      </c>
      <c r="D16" s="6"/>
      <c r="E16" s="7" t="s">
        <v>9</v>
      </c>
      <c r="F16" s="6"/>
      <c r="G16" s="7" t="s">
        <v>9</v>
      </c>
      <c r="H16" s="6"/>
      <c r="I16" s="7" t="s">
        <v>9</v>
      </c>
      <c r="J16" s="6"/>
      <c r="K16" s="7" t="s">
        <v>9</v>
      </c>
      <c r="L16" s="247"/>
    </row>
    <row r="17" spans="1:12">
      <c r="A17" s="252"/>
      <c r="B17" s="153" t="s">
        <v>10</v>
      </c>
      <c r="C17" s="156" t="s">
        <v>155</v>
      </c>
      <c r="D17" s="6">
        <f>D15*D16/10</f>
        <v>0</v>
      </c>
      <c r="E17" s="7" t="s">
        <v>11</v>
      </c>
      <c r="F17" s="6">
        <f>F15*F16/10</f>
        <v>0</v>
      </c>
      <c r="G17" s="7" t="s">
        <v>11</v>
      </c>
      <c r="H17" s="6">
        <f>H15*H16/10</f>
        <v>0</v>
      </c>
      <c r="I17" s="7" t="s">
        <v>11</v>
      </c>
      <c r="J17" s="6">
        <f>J15*J16/10</f>
        <v>0</v>
      </c>
      <c r="K17" s="7" t="s">
        <v>11</v>
      </c>
      <c r="L17" s="247"/>
    </row>
    <row r="18" spans="1:12">
      <c r="A18" s="252"/>
      <c r="B18" s="153" t="s">
        <v>12</v>
      </c>
      <c r="C18" s="156" t="s">
        <v>21</v>
      </c>
      <c r="D18" s="6"/>
      <c r="E18" s="7" t="s">
        <v>14</v>
      </c>
      <c r="F18" s="6"/>
      <c r="G18" s="7" t="s">
        <v>14</v>
      </c>
      <c r="H18" s="6"/>
      <c r="I18" s="7" t="s">
        <v>14</v>
      </c>
      <c r="J18" s="6"/>
      <c r="K18" s="7" t="s">
        <v>14</v>
      </c>
      <c r="L18" s="247"/>
    </row>
    <row r="19" spans="1:12">
      <c r="A19" s="253"/>
      <c r="B19" s="154" t="s">
        <v>15</v>
      </c>
      <c r="C19" s="157" t="s">
        <v>22</v>
      </c>
      <c r="D19" s="8">
        <f>+D17*D18</f>
        <v>0</v>
      </c>
      <c r="E19" s="9" t="s">
        <v>17</v>
      </c>
      <c r="F19" s="8">
        <f t="shared" ref="F19" si="3">+F17*F18</f>
        <v>0</v>
      </c>
      <c r="G19" s="9" t="s">
        <v>17</v>
      </c>
      <c r="H19" s="8">
        <f t="shared" ref="H19" si="4">+H17*H18</f>
        <v>0</v>
      </c>
      <c r="I19" s="9" t="s">
        <v>17</v>
      </c>
      <c r="J19" s="8">
        <f t="shared" ref="J19" si="5">+J17*J18</f>
        <v>0</v>
      </c>
      <c r="K19" s="9" t="s">
        <v>17</v>
      </c>
      <c r="L19" s="248"/>
    </row>
    <row r="20" spans="1:12">
      <c r="A20" s="256" t="s">
        <v>23</v>
      </c>
      <c r="B20" s="257"/>
      <c r="C20" s="158" t="s">
        <v>24</v>
      </c>
      <c r="D20" s="144">
        <f>D9+D14+D19</f>
        <v>15558396</v>
      </c>
      <c r="E20" s="145" t="s">
        <v>17</v>
      </c>
      <c r="F20" s="144">
        <f>F9+F14+F19</f>
        <v>17587644</v>
      </c>
      <c r="G20" s="145" t="s">
        <v>17</v>
      </c>
      <c r="H20" s="144">
        <f>H9+H14+H19</f>
        <v>19288939</v>
      </c>
      <c r="I20" s="145" t="s">
        <v>17</v>
      </c>
      <c r="J20" s="144">
        <f>J9+J14+J19</f>
        <v>24359628</v>
      </c>
      <c r="K20" s="145" t="s">
        <v>17</v>
      </c>
      <c r="L20" s="246"/>
    </row>
    <row r="21" spans="1:12">
      <c r="A21" s="244" t="s">
        <v>67</v>
      </c>
      <c r="B21" s="245"/>
      <c r="C21" s="159"/>
      <c r="D21" s="29" t="s">
        <v>1</v>
      </c>
      <c r="E21" s="27" t="s">
        <v>65</v>
      </c>
      <c r="F21" s="141">
        <f>IF(F20=0,,+F20/$D20*100)</f>
        <v>113.04278410190871</v>
      </c>
      <c r="G21" s="142" t="s">
        <v>65</v>
      </c>
      <c r="H21" s="141">
        <f>IF(H20=0,,+H20/$D20*100)</f>
        <v>123.97768381779201</v>
      </c>
      <c r="I21" s="27" t="s">
        <v>65</v>
      </c>
      <c r="J21" s="141">
        <f>IF(J20=0,,+J20/$D20*100)</f>
        <v>156.56901906854665</v>
      </c>
      <c r="K21" s="142" t="s">
        <v>65</v>
      </c>
      <c r="L21" s="248"/>
    </row>
    <row r="22" spans="1:12">
      <c r="D22" s="10"/>
      <c r="E22" s="11"/>
      <c r="F22" s="10"/>
      <c r="G22" s="11"/>
      <c r="H22" s="10"/>
      <c r="I22" s="10"/>
      <c r="J22" s="10"/>
      <c r="K22" s="10"/>
    </row>
    <row r="23" spans="1:12">
      <c r="A23" s="2" t="s">
        <v>133</v>
      </c>
      <c r="D23" s="10"/>
      <c r="E23" s="11"/>
      <c r="F23" s="10"/>
      <c r="G23" s="11"/>
      <c r="H23" s="10"/>
      <c r="I23" s="10"/>
      <c r="J23" s="10"/>
      <c r="K23" s="10"/>
    </row>
    <row r="24" spans="1:12">
      <c r="A24" s="170" t="s">
        <v>25</v>
      </c>
      <c r="B24" s="258" t="s">
        <v>83</v>
      </c>
      <c r="C24" s="258"/>
      <c r="D24" s="254" t="str">
        <f>+D4</f>
        <v>現状</v>
      </c>
      <c r="E24" s="254"/>
      <c r="F24" s="249" t="str">
        <f>+F4</f>
        <v>R7年度</v>
      </c>
      <c r="G24" s="250"/>
      <c r="H24" s="249" t="str">
        <f>+H4</f>
        <v>R8年度</v>
      </c>
      <c r="I24" s="250"/>
      <c r="J24" s="249" t="str">
        <f>+J4</f>
        <v>R9年度</v>
      </c>
      <c r="K24" s="250"/>
      <c r="L24" s="170" t="str">
        <f>+L4</f>
        <v>備考</v>
      </c>
    </row>
    <row r="25" spans="1:12">
      <c r="A25" s="251"/>
      <c r="B25" s="153" t="s">
        <v>26</v>
      </c>
      <c r="C25" s="155" t="s">
        <v>18</v>
      </c>
      <c r="D25" s="6"/>
      <c r="E25" s="12" t="s">
        <v>20</v>
      </c>
      <c r="F25" s="6"/>
      <c r="G25" s="12" t="s">
        <v>20</v>
      </c>
      <c r="H25" s="6"/>
      <c r="I25" s="12" t="s">
        <v>20</v>
      </c>
      <c r="J25" s="6"/>
      <c r="K25" s="12" t="s">
        <v>20</v>
      </c>
      <c r="L25" s="246"/>
    </row>
    <row r="26" spans="1:12">
      <c r="A26" s="252"/>
      <c r="B26" s="153" t="s">
        <v>12</v>
      </c>
      <c r="C26" s="156" t="s">
        <v>19</v>
      </c>
      <c r="D26" s="6"/>
      <c r="E26" s="12" t="s">
        <v>14</v>
      </c>
      <c r="F26" s="6"/>
      <c r="G26" s="12" t="s">
        <v>14</v>
      </c>
      <c r="H26" s="6"/>
      <c r="I26" s="12" t="s">
        <v>14</v>
      </c>
      <c r="J26" s="6"/>
      <c r="K26" s="12" t="s">
        <v>14</v>
      </c>
      <c r="L26" s="247"/>
    </row>
    <row r="27" spans="1:12">
      <c r="A27" s="253"/>
      <c r="B27" s="154" t="s">
        <v>15</v>
      </c>
      <c r="C27" s="157" t="s">
        <v>27</v>
      </c>
      <c r="D27" s="8">
        <f>+D25*D26</f>
        <v>0</v>
      </c>
      <c r="E27" s="13" t="s">
        <v>17</v>
      </c>
      <c r="F27" s="8">
        <f t="shared" ref="F27" si="6">+F25*F26</f>
        <v>0</v>
      </c>
      <c r="G27" s="13" t="s">
        <v>17</v>
      </c>
      <c r="H27" s="8">
        <f t="shared" ref="H27" si="7">+H25*H26</f>
        <v>0</v>
      </c>
      <c r="I27" s="13" t="s">
        <v>17</v>
      </c>
      <c r="J27" s="8">
        <f t="shared" ref="J27" si="8">+J25*J26</f>
        <v>0</v>
      </c>
      <c r="K27" s="13" t="s">
        <v>17</v>
      </c>
      <c r="L27" s="248"/>
    </row>
    <row r="28" spans="1:12">
      <c r="A28" s="252"/>
      <c r="B28" s="153" t="s">
        <v>26</v>
      </c>
      <c r="C28" s="156" t="s">
        <v>18</v>
      </c>
      <c r="D28" s="6"/>
      <c r="E28" s="12" t="s">
        <v>20</v>
      </c>
      <c r="F28" s="6"/>
      <c r="G28" s="12" t="s">
        <v>20</v>
      </c>
      <c r="H28" s="6"/>
      <c r="I28" s="12" t="s">
        <v>20</v>
      </c>
      <c r="J28" s="6"/>
      <c r="K28" s="12" t="s">
        <v>20</v>
      </c>
      <c r="L28" s="246"/>
    </row>
    <row r="29" spans="1:12">
      <c r="A29" s="252"/>
      <c r="B29" s="153" t="s">
        <v>12</v>
      </c>
      <c r="C29" s="156" t="s">
        <v>19</v>
      </c>
      <c r="D29" s="6"/>
      <c r="E29" s="12" t="s">
        <v>14</v>
      </c>
      <c r="F29" s="6"/>
      <c r="G29" s="12" t="s">
        <v>14</v>
      </c>
      <c r="H29" s="6"/>
      <c r="I29" s="12" t="s">
        <v>14</v>
      </c>
      <c r="J29" s="6"/>
      <c r="K29" s="12" t="s">
        <v>14</v>
      </c>
      <c r="L29" s="247"/>
    </row>
    <row r="30" spans="1:12">
      <c r="A30" s="253"/>
      <c r="B30" s="154" t="s">
        <v>15</v>
      </c>
      <c r="C30" s="157" t="s">
        <v>27</v>
      </c>
      <c r="D30" s="8">
        <f>+D28*D29</f>
        <v>0</v>
      </c>
      <c r="E30" s="13" t="s">
        <v>17</v>
      </c>
      <c r="F30" s="8">
        <f t="shared" ref="F30" si="9">+F28*F29</f>
        <v>0</v>
      </c>
      <c r="G30" s="13" t="s">
        <v>17</v>
      </c>
      <c r="H30" s="8">
        <f t="shared" ref="H30" si="10">+H28*H29</f>
        <v>0</v>
      </c>
      <c r="I30" s="13" t="s">
        <v>17</v>
      </c>
      <c r="J30" s="8">
        <f t="shared" ref="J30" si="11">+J28*J29</f>
        <v>0</v>
      </c>
      <c r="K30" s="13" t="s">
        <v>17</v>
      </c>
      <c r="L30" s="248"/>
    </row>
    <row r="31" spans="1:12">
      <c r="A31" s="252"/>
      <c r="B31" s="153" t="s">
        <v>26</v>
      </c>
      <c r="C31" s="156" t="s">
        <v>18</v>
      </c>
      <c r="D31" s="6"/>
      <c r="E31" s="12" t="s">
        <v>20</v>
      </c>
      <c r="F31" s="6"/>
      <c r="G31" s="12" t="s">
        <v>20</v>
      </c>
      <c r="H31" s="6"/>
      <c r="I31" s="12" t="s">
        <v>20</v>
      </c>
      <c r="J31" s="6"/>
      <c r="K31" s="12" t="s">
        <v>20</v>
      </c>
      <c r="L31" s="246"/>
    </row>
    <row r="32" spans="1:12">
      <c r="A32" s="252"/>
      <c r="B32" s="153" t="s">
        <v>12</v>
      </c>
      <c r="C32" s="156" t="s">
        <v>19</v>
      </c>
      <c r="D32" s="6"/>
      <c r="E32" s="12" t="s">
        <v>14</v>
      </c>
      <c r="F32" s="6"/>
      <c r="G32" s="12" t="s">
        <v>14</v>
      </c>
      <c r="H32" s="6"/>
      <c r="I32" s="12" t="s">
        <v>14</v>
      </c>
      <c r="J32" s="6"/>
      <c r="K32" s="12" t="s">
        <v>14</v>
      </c>
      <c r="L32" s="247"/>
    </row>
    <row r="33" spans="1:12">
      <c r="A33" s="253"/>
      <c r="B33" s="154" t="s">
        <v>15</v>
      </c>
      <c r="C33" s="157" t="s">
        <v>27</v>
      </c>
      <c r="D33" s="8">
        <f>+D31*D32</f>
        <v>0</v>
      </c>
      <c r="E33" s="13" t="s">
        <v>17</v>
      </c>
      <c r="F33" s="8">
        <f t="shared" ref="F33" si="12">+F31*F32</f>
        <v>0</v>
      </c>
      <c r="G33" s="13" t="s">
        <v>17</v>
      </c>
      <c r="H33" s="8">
        <f t="shared" ref="H33" si="13">+H31*H32</f>
        <v>0</v>
      </c>
      <c r="I33" s="13" t="s">
        <v>17</v>
      </c>
      <c r="J33" s="8">
        <f t="shared" ref="J33" si="14">+J31*J32</f>
        <v>0</v>
      </c>
      <c r="K33" s="13" t="s">
        <v>17</v>
      </c>
      <c r="L33" s="248"/>
    </row>
    <row r="34" spans="1:12">
      <c r="A34" s="256" t="s">
        <v>23</v>
      </c>
      <c r="B34" s="257"/>
      <c r="C34" s="158" t="s">
        <v>28</v>
      </c>
      <c r="D34" s="144">
        <f>+D27+D30+D33</f>
        <v>0</v>
      </c>
      <c r="E34" s="146" t="s">
        <v>17</v>
      </c>
      <c r="F34" s="144">
        <f>+F27+F30+F33</f>
        <v>0</v>
      </c>
      <c r="G34" s="146" t="s">
        <v>17</v>
      </c>
      <c r="H34" s="144">
        <f>+H27+H30+H33</f>
        <v>0</v>
      </c>
      <c r="I34" s="146" t="s">
        <v>17</v>
      </c>
      <c r="J34" s="144">
        <f>+J27+J30+J33</f>
        <v>0</v>
      </c>
      <c r="K34" s="146" t="s">
        <v>17</v>
      </c>
      <c r="L34" s="246"/>
    </row>
    <row r="35" spans="1:12">
      <c r="A35" s="244" t="s">
        <v>67</v>
      </c>
      <c r="B35" s="245"/>
      <c r="C35" s="159"/>
      <c r="D35" s="29" t="s">
        <v>1</v>
      </c>
      <c r="E35" s="27" t="s">
        <v>65</v>
      </c>
      <c r="F35" s="141">
        <f>IF(F34=0,,+F34/$D34*100)</f>
        <v>0</v>
      </c>
      <c r="G35" s="142" t="s">
        <v>65</v>
      </c>
      <c r="H35" s="141">
        <f>IF(H34=0,,+H34/$D34*100)</f>
        <v>0</v>
      </c>
      <c r="I35" s="27" t="s">
        <v>65</v>
      </c>
      <c r="J35" s="141">
        <f>IF(J34=0,,+J34/$D34*100)</f>
        <v>0</v>
      </c>
      <c r="K35" s="142" t="s">
        <v>65</v>
      </c>
      <c r="L35" s="248"/>
    </row>
    <row r="36" spans="1:12">
      <c r="A36" s="14"/>
      <c r="B36" s="14"/>
      <c r="C36" s="14"/>
      <c r="D36" s="15"/>
      <c r="E36" s="16"/>
      <c r="F36" s="15"/>
      <c r="G36" s="16"/>
      <c r="H36" s="15"/>
      <c r="I36" s="16"/>
      <c r="J36" s="15"/>
      <c r="K36" s="16"/>
    </row>
    <row r="37" spans="1:12">
      <c r="A37" s="2" t="s">
        <v>29</v>
      </c>
      <c r="G37" s="3"/>
    </row>
    <row r="38" spans="1:12">
      <c r="A38" s="172"/>
      <c r="B38" s="143"/>
      <c r="C38" s="167"/>
      <c r="D38" s="254" t="str">
        <f>+D24</f>
        <v>現状</v>
      </c>
      <c r="E38" s="254"/>
      <c r="F38" s="254" t="str">
        <f t="shared" ref="F38" si="15">+F24</f>
        <v>R7年度</v>
      </c>
      <c r="G38" s="254"/>
      <c r="H38" s="254" t="str">
        <f t="shared" ref="H38" si="16">+H24</f>
        <v>R8年度</v>
      </c>
      <c r="I38" s="254"/>
      <c r="J38" s="254" t="str">
        <f t="shared" ref="J38" si="17">+J24</f>
        <v>R9年度</v>
      </c>
      <c r="K38" s="254"/>
      <c r="L38" s="170" t="str">
        <f>+L24</f>
        <v>備考</v>
      </c>
    </row>
    <row r="39" spans="1:12">
      <c r="A39" s="256" t="s">
        <v>23</v>
      </c>
      <c r="B39" s="257"/>
      <c r="C39" s="158" t="s">
        <v>30</v>
      </c>
      <c r="D39" s="147">
        <f>D20+D34</f>
        <v>15558396</v>
      </c>
      <c r="E39" s="169" t="s">
        <v>17</v>
      </c>
      <c r="F39" s="147">
        <f>F20+F34</f>
        <v>17587644</v>
      </c>
      <c r="G39" s="149" t="s">
        <v>17</v>
      </c>
      <c r="H39" s="150">
        <f>H20+H34</f>
        <v>19288939</v>
      </c>
      <c r="I39" s="169" t="s">
        <v>17</v>
      </c>
      <c r="J39" s="147">
        <f>J20+J34</f>
        <v>24359628</v>
      </c>
      <c r="K39" s="149" t="s">
        <v>17</v>
      </c>
      <c r="L39" s="246"/>
    </row>
    <row r="40" spans="1:12">
      <c r="A40" s="244" t="s">
        <v>67</v>
      </c>
      <c r="B40" s="245"/>
      <c r="C40" s="159"/>
      <c r="D40" s="29" t="s">
        <v>66</v>
      </c>
      <c r="E40" s="27" t="s">
        <v>65</v>
      </c>
      <c r="F40" s="141">
        <f>IF(F39=0,,+F39/$D39*100)</f>
        <v>113.04278410190871</v>
      </c>
      <c r="G40" s="142" t="s">
        <v>65</v>
      </c>
      <c r="H40" s="141">
        <f>IF(H39=0,,+H39/$D39*100)</f>
        <v>123.97768381779201</v>
      </c>
      <c r="I40" s="27" t="s">
        <v>65</v>
      </c>
      <c r="J40" s="141">
        <f>IF(J39=0,,+J39/$D39*100)</f>
        <v>156.56901906854665</v>
      </c>
      <c r="K40" s="142" t="s">
        <v>65</v>
      </c>
      <c r="L40" s="248"/>
    </row>
    <row r="41" spans="1:12">
      <c r="A41" s="128"/>
    </row>
    <row r="42" spans="1:12">
      <c r="A42" s="128"/>
    </row>
  </sheetData>
  <mergeCells count="36">
    <mergeCell ref="A1:L1"/>
    <mergeCell ref="B4:C4"/>
    <mergeCell ref="D4:E4"/>
    <mergeCell ref="F4:G4"/>
    <mergeCell ref="H4:I4"/>
    <mergeCell ref="J4:K4"/>
    <mergeCell ref="A5:A9"/>
    <mergeCell ref="L5:L9"/>
    <mergeCell ref="A10:A14"/>
    <mergeCell ref="L10:L14"/>
    <mergeCell ref="A15:A19"/>
    <mergeCell ref="L15:L19"/>
    <mergeCell ref="A20:B20"/>
    <mergeCell ref="L20:L21"/>
    <mergeCell ref="A21:B21"/>
    <mergeCell ref="B24:C24"/>
    <mergeCell ref="D24:E24"/>
    <mergeCell ref="F24:G24"/>
    <mergeCell ref="H24:I24"/>
    <mergeCell ref="J24:K24"/>
    <mergeCell ref="A25:A27"/>
    <mergeCell ref="L25:L27"/>
    <mergeCell ref="A28:A30"/>
    <mergeCell ref="L28:L30"/>
    <mergeCell ref="A31:A33"/>
    <mergeCell ref="L31:L33"/>
    <mergeCell ref="A39:B39"/>
    <mergeCell ref="L39:L40"/>
    <mergeCell ref="A40:B40"/>
    <mergeCell ref="A34:B34"/>
    <mergeCell ref="L34:L35"/>
    <mergeCell ref="A35:B35"/>
    <mergeCell ref="D38:E38"/>
    <mergeCell ref="F38:G38"/>
    <mergeCell ref="H38:I38"/>
    <mergeCell ref="J38:K38"/>
  </mergeCells>
  <phoneticPr fontId="1"/>
  <pageMargins left="0.59055118110236227" right="0.19685039370078741" top="0.74803149606299213" bottom="0.74803149606299213" header="0.31496062992125984" footer="0.31496062992125984"/>
  <pageSetup paperSize="9" scale="85"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0"/>
  <sheetViews>
    <sheetView view="pageBreakPreview" zoomScale="55" zoomScaleNormal="100" zoomScaleSheetLayoutView="55" workbookViewId="0">
      <pane xSplit="4" ySplit="5" topLeftCell="E6" activePane="bottomRight" state="frozen"/>
      <selection pane="topRight" activeCell="D1" sqref="D1"/>
      <selection pane="bottomLeft" activeCell="A6" sqref="A6"/>
      <selection pane="bottomRight" activeCell="D2" sqref="D2"/>
    </sheetView>
  </sheetViews>
  <sheetFormatPr defaultColWidth="9" defaultRowHeight="13.5"/>
  <cols>
    <col min="1" max="1" width="3.875" style="2" customWidth="1"/>
    <col min="2" max="2" width="17.125" style="2" bestFit="1" customWidth="1"/>
    <col min="3" max="3" width="17.125" style="2" customWidth="1"/>
    <col min="4" max="4" width="29" style="2" customWidth="1"/>
    <col min="5" max="5" width="13.25" style="2" bestFit="1" customWidth="1"/>
    <col min="6" max="6" width="55.625" style="2" customWidth="1"/>
    <col min="7" max="7" width="13.25" style="2" bestFit="1" customWidth="1"/>
    <col min="8" max="8" width="55.625" style="2" customWidth="1"/>
    <col min="9" max="9" width="12.125" style="2" bestFit="1" customWidth="1"/>
    <col min="10" max="10" width="60.625" style="2" customWidth="1"/>
    <col min="11" max="11" width="12.125" style="2" bestFit="1" customWidth="1"/>
    <col min="12" max="12" width="60.625" style="2" customWidth="1"/>
    <col min="13" max="13" width="5" style="2" customWidth="1"/>
    <col min="14" max="16384" width="9" style="2"/>
  </cols>
  <sheetData>
    <row r="1" spans="2:12" ht="18.75">
      <c r="B1" s="38" t="s">
        <v>127</v>
      </c>
      <c r="C1" s="38"/>
      <c r="D1" s="38"/>
      <c r="E1" s="38"/>
      <c r="F1" s="38"/>
      <c r="G1" s="38"/>
      <c r="H1" s="38"/>
      <c r="I1" s="38"/>
      <c r="J1" s="38"/>
      <c r="K1" s="38"/>
      <c r="L1" s="38"/>
    </row>
    <row r="3" spans="2:12" ht="19.5" customHeight="1">
      <c r="B3" s="17" t="s">
        <v>31</v>
      </c>
      <c r="C3" s="17"/>
      <c r="H3" s="2" t="s">
        <v>234</v>
      </c>
      <c r="J3" s="2" t="s">
        <v>235</v>
      </c>
    </row>
    <row r="4" spans="2:12" ht="21" customHeight="1">
      <c r="B4" s="255" t="s">
        <v>32</v>
      </c>
      <c r="C4" s="175" t="s">
        <v>189</v>
      </c>
      <c r="D4" s="255" t="s">
        <v>33</v>
      </c>
      <c r="E4" s="259" t="s">
        <v>183</v>
      </c>
      <c r="F4" s="260"/>
      <c r="G4" s="264" t="s">
        <v>184</v>
      </c>
      <c r="H4" s="265"/>
      <c r="I4" s="264" t="s">
        <v>185</v>
      </c>
      <c r="J4" s="265"/>
      <c r="K4" s="259" t="s">
        <v>186</v>
      </c>
      <c r="L4" s="260"/>
    </row>
    <row r="5" spans="2:12" ht="21" customHeight="1">
      <c r="B5" s="253"/>
      <c r="C5" s="176" t="s">
        <v>205</v>
      </c>
      <c r="D5" s="253"/>
      <c r="E5" s="174" t="s">
        <v>34</v>
      </c>
      <c r="F5" s="174" t="s">
        <v>35</v>
      </c>
      <c r="G5" s="178" t="s">
        <v>34</v>
      </c>
      <c r="H5" s="178" t="s">
        <v>35</v>
      </c>
      <c r="I5" s="178" t="s">
        <v>34</v>
      </c>
      <c r="J5" s="178" t="s">
        <v>35</v>
      </c>
      <c r="K5" s="174" t="s">
        <v>34</v>
      </c>
      <c r="L5" s="174" t="s">
        <v>35</v>
      </c>
    </row>
    <row r="6" spans="2:12" ht="45" customHeight="1">
      <c r="B6" s="125" t="s">
        <v>132</v>
      </c>
      <c r="C6" s="177" t="s">
        <v>190</v>
      </c>
      <c r="D6" s="41" t="s">
        <v>134</v>
      </c>
      <c r="E6" s="20"/>
      <c r="F6" s="131" t="s">
        <v>233</v>
      </c>
      <c r="G6" s="179"/>
      <c r="H6" s="180"/>
      <c r="I6" s="179"/>
      <c r="J6" s="180"/>
      <c r="K6" s="21"/>
      <c r="L6" s="131" t="s">
        <v>237</v>
      </c>
    </row>
    <row r="7" spans="2:12" ht="45" customHeight="1">
      <c r="B7" s="122" t="s">
        <v>135</v>
      </c>
      <c r="C7" s="122" t="s">
        <v>135</v>
      </c>
      <c r="D7" s="47" t="s">
        <v>145</v>
      </c>
      <c r="E7" s="46"/>
      <c r="F7" s="50"/>
      <c r="G7" s="181"/>
      <c r="H7" s="182"/>
      <c r="I7" s="181"/>
      <c r="J7" s="182"/>
      <c r="K7" s="48"/>
      <c r="L7" s="50"/>
    </row>
    <row r="8" spans="2:12" ht="45" customHeight="1">
      <c r="B8" s="45" t="s">
        <v>131</v>
      </c>
      <c r="C8" s="45" t="s">
        <v>131</v>
      </c>
      <c r="D8" s="47" t="s">
        <v>162</v>
      </c>
      <c r="E8" s="46"/>
      <c r="F8" s="50" t="s">
        <v>250</v>
      </c>
      <c r="G8" s="181"/>
      <c r="H8" s="182"/>
      <c r="I8" s="181"/>
      <c r="J8" s="182"/>
      <c r="K8" s="48"/>
      <c r="L8" s="50" t="s">
        <v>238</v>
      </c>
    </row>
    <row r="9" spans="2:12" ht="45" customHeight="1">
      <c r="B9" s="22" t="s">
        <v>151</v>
      </c>
      <c r="C9" s="22" t="s">
        <v>151</v>
      </c>
      <c r="D9" s="43" t="s">
        <v>146</v>
      </c>
      <c r="E9" s="42"/>
      <c r="F9" s="49"/>
      <c r="G9" s="183"/>
      <c r="H9" s="184"/>
      <c r="I9" s="183"/>
      <c r="J9" s="184"/>
      <c r="K9" s="44"/>
      <c r="L9" s="49"/>
    </row>
    <row r="10" spans="2:12" ht="45" customHeight="1">
      <c r="B10" s="261" t="s">
        <v>36</v>
      </c>
      <c r="C10" s="262"/>
      <c r="D10" s="263"/>
      <c r="E10" s="18">
        <f>SUM(E6:E9)</f>
        <v>0</v>
      </c>
      <c r="F10" s="130"/>
      <c r="G10" s="185">
        <f>SUM(G6:G9)</f>
        <v>0</v>
      </c>
      <c r="H10" s="186"/>
      <c r="I10" s="185">
        <f>SUM(I6:I9)</f>
        <v>0</v>
      </c>
      <c r="J10" s="186"/>
      <c r="K10" s="19">
        <f>SUM(K6:K9)</f>
        <v>0</v>
      </c>
      <c r="L10" s="130"/>
    </row>
    <row r="11" spans="2:12">
      <c r="G11" s="187"/>
      <c r="H11" s="187"/>
      <c r="I11" s="187"/>
      <c r="J11" s="187"/>
    </row>
    <row r="12" spans="2:12" ht="19.5" customHeight="1">
      <c r="B12" s="17" t="s">
        <v>37</v>
      </c>
      <c r="C12" s="17"/>
      <c r="G12" s="187"/>
      <c r="H12" s="187"/>
      <c r="I12" s="187"/>
      <c r="J12" s="187"/>
    </row>
    <row r="13" spans="2:12" ht="21" customHeight="1">
      <c r="B13" s="255" t="s">
        <v>32</v>
      </c>
      <c r="C13" s="175"/>
      <c r="D13" s="255" t="s">
        <v>39</v>
      </c>
      <c r="E13" s="259" t="str">
        <f>+E4</f>
        <v>現状（R6年度）</v>
      </c>
      <c r="F13" s="260"/>
      <c r="G13" s="264" t="str">
        <f>+G4</f>
        <v>１年度目（R7年度）</v>
      </c>
      <c r="H13" s="265"/>
      <c r="I13" s="264" t="str">
        <f>+I4</f>
        <v>２年度目（R8年度）</v>
      </c>
      <c r="J13" s="265"/>
      <c r="K13" s="259" t="str">
        <f>+K4</f>
        <v>目標年度（R9年度）</v>
      </c>
      <c r="L13" s="260"/>
    </row>
    <row r="14" spans="2:12" ht="21" customHeight="1">
      <c r="B14" s="253"/>
      <c r="C14" s="176"/>
      <c r="D14" s="253"/>
      <c r="E14" s="174" t="s">
        <v>34</v>
      </c>
      <c r="F14" s="174" t="s">
        <v>35</v>
      </c>
      <c r="G14" s="178" t="s">
        <v>34</v>
      </c>
      <c r="H14" s="178" t="s">
        <v>35</v>
      </c>
      <c r="I14" s="178" t="s">
        <v>34</v>
      </c>
      <c r="J14" s="178" t="s">
        <v>35</v>
      </c>
      <c r="K14" s="174" t="s">
        <v>34</v>
      </c>
      <c r="L14" s="174" t="s">
        <v>35</v>
      </c>
    </row>
    <row r="15" spans="2:12" ht="39.950000000000003" customHeight="1">
      <c r="B15" s="125" t="s">
        <v>128</v>
      </c>
      <c r="C15" s="125"/>
      <c r="D15" s="125" t="s">
        <v>129</v>
      </c>
      <c r="E15" s="126"/>
      <c r="F15" s="127" t="s">
        <v>161</v>
      </c>
      <c r="G15" s="188"/>
      <c r="H15" s="189"/>
      <c r="I15" s="188"/>
      <c r="J15" s="189"/>
      <c r="K15" s="126"/>
      <c r="L15" s="127"/>
    </row>
    <row r="16" spans="2:12" ht="45" customHeight="1">
      <c r="B16" s="122" t="s">
        <v>72</v>
      </c>
      <c r="C16" s="122" t="s">
        <v>188</v>
      </c>
      <c r="D16" s="122" t="s">
        <v>130</v>
      </c>
      <c r="E16" s="123"/>
      <c r="F16" s="124" t="s">
        <v>251</v>
      </c>
      <c r="G16" s="190"/>
      <c r="H16" s="191"/>
      <c r="I16" s="190"/>
      <c r="J16" s="191"/>
      <c r="K16" s="123"/>
      <c r="L16" s="124"/>
    </row>
    <row r="17" spans="2:12" ht="45" customHeight="1">
      <c r="B17" s="47" t="s">
        <v>44</v>
      </c>
      <c r="C17" s="47" t="s">
        <v>44</v>
      </c>
      <c r="D17" s="47" t="s">
        <v>75</v>
      </c>
      <c r="E17" s="46"/>
      <c r="F17" s="50"/>
      <c r="G17" s="192"/>
      <c r="H17" s="182"/>
      <c r="I17" s="192"/>
      <c r="J17" s="182"/>
      <c r="K17" s="46"/>
      <c r="L17" s="50"/>
    </row>
    <row r="18" spans="2:12" ht="112.5" customHeight="1">
      <c r="B18" s="47" t="s">
        <v>74</v>
      </c>
      <c r="C18" s="47" t="s">
        <v>195</v>
      </c>
      <c r="D18" s="47" t="s">
        <v>195</v>
      </c>
      <c r="E18" s="46"/>
      <c r="F18" s="50" t="s">
        <v>255</v>
      </c>
      <c r="G18" s="192"/>
      <c r="H18" s="182"/>
      <c r="I18" s="192"/>
      <c r="J18" s="182"/>
      <c r="K18" s="46"/>
      <c r="L18" s="50"/>
    </row>
    <row r="19" spans="2:12" ht="112.5" customHeight="1">
      <c r="B19" s="47" t="s">
        <v>74</v>
      </c>
      <c r="C19" s="47" t="s">
        <v>192</v>
      </c>
      <c r="D19" s="47" t="s">
        <v>192</v>
      </c>
      <c r="E19" s="46"/>
      <c r="F19" s="50"/>
      <c r="G19" s="192"/>
      <c r="H19" s="182"/>
      <c r="I19" s="192"/>
      <c r="J19" s="182"/>
      <c r="K19" s="46"/>
      <c r="L19" s="50"/>
    </row>
    <row r="20" spans="2:12" ht="112.5" customHeight="1">
      <c r="B20" s="47" t="s">
        <v>74</v>
      </c>
      <c r="C20" s="47" t="s">
        <v>196</v>
      </c>
      <c r="D20" s="47" t="s">
        <v>196</v>
      </c>
      <c r="E20" s="46"/>
      <c r="F20" s="50" t="s">
        <v>254</v>
      </c>
      <c r="G20" s="192"/>
      <c r="H20" s="182"/>
      <c r="I20" s="192"/>
      <c r="J20" s="182"/>
      <c r="K20" s="46"/>
      <c r="L20" s="50"/>
    </row>
    <row r="21" spans="2:12" ht="112.5" customHeight="1">
      <c r="B21" s="47" t="s">
        <v>74</v>
      </c>
      <c r="C21" s="47" t="s">
        <v>193</v>
      </c>
      <c r="D21" s="47" t="s">
        <v>193</v>
      </c>
      <c r="E21" s="46"/>
      <c r="F21" s="50"/>
      <c r="G21" s="192"/>
      <c r="H21" s="182"/>
      <c r="I21" s="192"/>
      <c r="J21" s="182"/>
      <c r="K21" s="46"/>
      <c r="L21" s="50"/>
    </row>
    <row r="22" spans="2:12" ht="112.5" customHeight="1">
      <c r="B22" s="47" t="s">
        <v>74</v>
      </c>
      <c r="C22" s="47" t="s">
        <v>197</v>
      </c>
      <c r="D22" s="47" t="s">
        <v>197</v>
      </c>
      <c r="E22" s="46"/>
      <c r="F22" s="50"/>
      <c r="G22" s="192"/>
      <c r="H22" s="182"/>
      <c r="I22" s="192"/>
      <c r="J22" s="182"/>
      <c r="K22" s="46"/>
      <c r="L22" s="50"/>
    </row>
    <row r="23" spans="2:12" ht="112.5" customHeight="1">
      <c r="B23" s="47" t="s">
        <v>200</v>
      </c>
      <c r="C23" s="47" t="s">
        <v>198</v>
      </c>
      <c r="D23" s="47" t="s">
        <v>198</v>
      </c>
      <c r="E23" s="46"/>
      <c r="F23" s="50" t="s">
        <v>253</v>
      </c>
      <c r="G23" s="192"/>
      <c r="H23" s="182"/>
      <c r="I23" s="192"/>
      <c r="J23" s="182"/>
      <c r="K23" s="46"/>
      <c r="L23" s="50"/>
    </row>
    <row r="24" spans="2:12" ht="112.5" customHeight="1">
      <c r="B24" s="47" t="s">
        <v>74</v>
      </c>
      <c r="C24" s="47" t="s">
        <v>191</v>
      </c>
      <c r="D24" s="47" t="s">
        <v>191</v>
      </c>
      <c r="E24" s="46"/>
      <c r="F24" s="50" t="s">
        <v>252</v>
      </c>
      <c r="G24" s="192"/>
      <c r="H24" s="182"/>
      <c r="I24" s="192"/>
      <c r="J24" s="182"/>
      <c r="K24" s="46"/>
      <c r="L24" s="50"/>
    </row>
    <row r="25" spans="2:12" ht="45" customHeight="1">
      <c r="B25" s="47" t="s">
        <v>139</v>
      </c>
      <c r="C25" s="47" t="s">
        <v>202</v>
      </c>
      <c r="D25" s="47" t="s">
        <v>51</v>
      </c>
      <c r="E25" s="46"/>
      <c r="F25" s="50" t="s">
        <v>138</v>
      </c>
      <c r="G25" s="192"/>
      <c r="H25" s="182"/>
      <c r="I25" s="192"/>
      <c r="J25" s="182"/>
      <c r="K25" s="46"/>
      <c r="L25" s="50"/>
    </row>
    <row r="26" spans="2:12" ht="45" customHeight="1">
      <c r="B26" s="47" t="s">
        <v>49</v>
      </c>
      <c r="C26" s="47" t="s">
        <v>201</v>
      </c>
      <c r="D26" s="47" t="s">
        <v>118</v>
      </c>
      <c r="E26" s="46"/>
      <c r="F26" s="50" t="s">
        <v>119</v>
      </c>
      <c r="G26" s="192"/>
      <c r="H26" s="182"/>
      <c r="I26" s="192"/>
      <c r="J26" s="182"/>
      <c r="K26" s="46"/>
      <c r="L26" s="50"/>
    </row>
    <row r="27" spans="2:12" ht="45" customHeight="1">
      <c r="B27" s="47" t="s">
        <v>136</v>
      </c>
      <c r="C27" s="47" t="s">
        <v>209</v>
      </c>
      <c r="D27" s="47" t="s">
        <v>137</v>
      </c>
      <c r="E27" s="46"/>
      <c r="F27" s="50" t="s">
        <v>140</v>
      </c>
      <c r="G27" s="192"/>
      <c r="H27" s="182"/>
      <c r="I27" s="192"/>
      <c r="J27" s="182"/>
      <c r="K27" s="46"/>
      <c r="L27" s="50"/>
    </row>
    <row r="28" spans="2:12" ht="45" customHeight="1">
      <c r="B28" s="47" t="s">
        <v>206</v>
      </c>
      <c r="C28" s="47" t="s">
        <v>207</v>
      </c>
      <c r="D28" s="47" t="s">
        <v>76</v>
      </c>
      <c r="E28" s="46"/>
      <c r="F28" s="50" t="s">
        <v>114</v>
      </c>
      <c r="G28" s="192"/>
      <c r="H28" s="182"/>
      <c r="I28" s="192"/>
      <c r="J28" s="182"/>
      <c r="K28" s="46"/>
      <c r="L28" s="50"/>
    </row>
    <row r="29" spans="2:12" ht="45" customHeight="1">
      <c r="B29" s="47" t="s">
        <v>40</v>
      </c>
      <c r="C29" s="47" t="s">
        <v>208</v>
      </c>
      <c r="D29" s="47" t="s">
        <v>79</v>
      </c>
      <c r="E29" s="46"/>
      <c r="F29" s="50" t="s">
        <v>175</v>
      </c>
      <c r="G29" s="192"/>
      <c r="H29" s="182"/>
      <c r="I29" s="192"/>
      <c r="J29" s="182"/>
      <c r="K29" s="46"/>
      <c r="L29" s="50"/>
    </row>
    <row r="30" spans="2:12" ht="45" customHeight="1">
      <c r="B30" s="47" t="s">
        <v>73</v>
      </c>
      <c r="C30" s="47" t="s">
        <v>210</v>
      </c>
      <c r="D30" s="47" t="s">
        <v>81</v>
      </c>
      <c r="E30" s="46"/>
      <c r="F30" s="50" t="s">
        <v>112</v>
      </c>
      <c r="G30" s="192"/>
      <c r="H30" s="182"/>
      <c r="I30" s="192"/>
      <c r="J30" s="182"/>
      <c r="K30" s="46"/>
      <c r="L30" s="50"/>
    </row>
    <row r="31" spans="2:12" ht="45" customHeight="1">
      <c r="B31" s="47" t="s">
        <v>71</v>
      </c>
      <c r="C31" s="47" t="s">
        <v>211</v>
      </c>
      <c r="D31" s="47" t="s">
        <v>82</v>
      </c>
      <c r="E31" s="46"/>
      <c r="F31" s="50" t="s">
        <v>121</v>
      </c>
      <c r="G31" s="192"/>
      <c r="H31" s="182"/>
      <c r="I31" s="192"/>
      <c r="J31" s="182"/>
      <c r="K31" s="46"/>
      <c r="L31" s="50"/>
    </row>
    <row r="32" spans="2:12" ht="45" customHeight="1">
      <c r="B32" s="47" t="s">
        <v>55</v>
      </c>
      <c r="C32" s="47" t="s">
        <v>212</v>
      </c>
      <c r="D32" s="47" t="s">
        <v>78</v>
      </c>
      <c r="E32" s="46"/>
      <c r="F32" s="50" t="s">
        <v>148</v>
      </c>
      <c r="G32" s="192"/>
      <c r="H32" s="182"/>
      <c r="I32" s="192"/>
      <c r="J32" s="182"/>
      <c r="K32" s="46"/>
      <c r="L32" s="50"/>
    </row>
    <row r="33" spans="2:12" ht="45" customHeight="1">
      <c r="B33" s="47" t="s">
        <v>204</v>
      </c>
      <c r="C33" s="47" t="s">
        <v>204</v>
      </c>
      <c r="D33" s="47"/>
      <c r="E33" s="46"/>
      <c r="F33" s="50"/>
      <c r="G33" s="192"/>
      <c r="H33" s="182"/>
      <c r="I33" s="192"/>
      <c r="J33" s="182"/>
      <c r="K33" s="46"/>
      <c r="L33" s="50"/>
    </row>
    <row r="34" spans="2:12" ht="45" customHeight="1">
      <c r="B34" s="47" t="s">
        <v>77</v>
      </c>
      <c r="C34" s="47" t="s">
        <v>213</v>
      </c>
      <c r="D34" s="47" t="s">
        <v>80</v>
      </c>
      <c r="E34" s="46"/>
      <c r="F34" s="50" t="s">
        <v>124</v>
      </c>
      <c r="G34" s="192"/>
      <c r="H34" s="182"/>
      <c r="I34" s="192"/>
      <c r="J34" s="182"/>
      <c r="K34" s="46"/>
      <c r="L34" s="50"/>
    </row>
    <row r="35" spans="2:12" ht="45" customHeight="1">
      <c r="B35" s="47" t="s">
        <v>141</v>
      </c>
      <c r="C35" s="47"/>
      <c r="D35" s="47" t="s">
        <v>203</v>
      </c>
      <c r="E35" s="46"/>
      <c r="F35" s="50"/>
      <c r="G35" s="192"/>
      <c r="H35" s="182"/>
      <c r="I35" s="192"/>
      <c r="J35" s="182"/>
      <c r="K35" s="46"/>
      <c r="L35" s="50"/>
    </row>
    <row r="36" spans="2:12" ht="45" customHeight="1">
      <c r="B36" s="43" t="s">
        <v>150</v>
      </c>
      <c r="C36" s="43"/>
      <c r="D36" s="43" t="s">
        <v>146</v>
      </c>
      <c r="E36" s="42"/>
      <c r="F36" s="50"/>
      <c r="G36" s="193"/>
      <c r="H36" s="182"/>
      <c r="I36" s="193"/>
      <c r="J36" s="182"/>
      <c r="K36" s="42"/>
      <c r="L36" s="50"/>
    </row>
    <row r="37" spans="2:12" ht="45" customHeight="1">
      <c r="B37" s="261" t="s">
        <v>143</v>
      </c>
      <c r="C37" s="262"/>
      <c r="D37" s="263"/>
      <c r="E37" s="19">
        <f>SUM(E15:E36)</f>
        <v>0</v>
      </c>
      <c r="F37" s="130"/>
      <c r="G37" s="185">
        <f>SUM(G15:G36)</f>
        <v>0</v>
      </c>
      <c r="H37" s="186"/>
      <c r="I37" s="185">
        <f>SUM(I15:I36)</f>
        <v>0</v>
      </c>
      <c r="J37" s="186"/>
      <c r="K37" s="19">
        <f>SUM(K15:K36)</f>
        <v>0</v>
      </c>
      <c r="L37" s="130"/>
    </row>
    <row r="38" spans="2:12">
      <c r="B38" s="23"/>
      <c r="C38" s="23"/>
      <c r="D38" s="23"/>
      <c r="E38" s="24"/>
      <c r="F38" s="23"/>
      <c r="G38" s="194"/>
      <c r="H38" s="195"/>
      <c r="I38" s="194"/>
      <c r="J38" s="195"/>
      <c r="K38" s="25"/>
      <c r="L38" s="23"/>
    </row>
    <row r="39" spans="2:12" ht="19.5" customHeight="1">
      <c r="B39" s="26" t="s">
        <v>84</v>
      </c>
      <c r="C39" s="26"/>
      <c r="D39" s="27"/>
      <c r="E39" s="28"/>
      <c r="F39" s="27"/>
      <c r="G39" s="196"/>
      <c r="H39" s="197"/>
      <c r="I39" s="196"/>
      <c r="J39" s="197"/>
      <c r="K39" s="29"/>
      <c r="L39" s="27"/>
    </row>
    <row r="40" spans="2:12" ht="45" customHeight="1">
      <c r="B40" s="261" t="s">
        <v>144</v>
      </c>
      <c r="C40" s="262"/>
      <c r="D40" s="263"/>
      <c r="E40" s="18">
        <f>E10-E37</f>
        <v>0</v>
      </c>
      <c r="F40" s="129"/>
      <c r="G40" s="198">
        <f>G10-G37</f>
        <v>0</v>
      </c>
      <c r="H40" s="199"/>
      <c r="I40" s="185">
        <f>I10-I37</f>
        <v>0</v>
      </c>
      <c r="J40" s="199"/>
      <c r="K40" s="19">
        <f>K10-K37</f>
        <v>0</v>
      </c>
      <c r="L40" s="129"/>
    </row>
  </sheetData>
  <mergeCells count="15">
    <mergeCell ref="K13:L13"/>
    <mergeCell ref="B37:D37"/>
    <mergeCell ref="B40:D40"/>
    <mergeCell ref="B10:D10"/>
    <mergeCell ref="B13:B14"/>
    <mergeCell ref="D13:D14"/>
    <mergeCell ref="E13:F13"/>
    <mergeCell ref="G13:H13"/>
    <mergeCell ref="I13:J13"/>
    <mergeCell ref="K4:L4"/>
    <mergeCell ref="B4:B5"/>
    <mergeCell ref="D4:D5"/>
    <mergeCell ref="E4:F4"/>
    <mergeCell ref="G4:H4"/>
    <mergeCell ref="I4:J4"/>
  </mergeCells>
  <phoneticPr fontId="1"/>
  <pageMargins left="0.39370078740157483" right="0" top="0.78740157480314965" bottom="0.78740157480314965" header="0.51181102362204722" footer="0.51181102362204722"/>
  <pageSetup paperSize="9" scale="2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2"/>
  <sheetViews>
    <sheetView view="pageBreakPreview" zoomScaleNormal="100" zoomScaleSheetLayoutView="100" workbookViewId="0">
      <selection activeCell="P15" sqref="P15"/>
    </sheetView>
  </sheetViews>
  <sheetFormatPr defaultRowHeight="13.5"/>
  <cols>
    <col min="1" max="1" width="5.375" customWidth="1"/>
    <col min="2" max="2" width="2.625" customWidth="1"/>
    <col min="3" max="3" width="8.625" customWidth="1"/>
    <col min="4" max="4" width="12.625" customWidth="1"/>
    <col min="5" max="5" width="6.625" customWidth="1"/>
    <col min="6" max="10" width="10.625" customWidth="1"/>
    <col min="11" max="11" width="29.5" customWidth="1"/>
    <col min="12" max="12" width="9.25" bestFit="1" customWidth="1"/>
  </cols>
  <sheetData>
    <row r="1" spans="1:15">
      <c r="A1" t="s">
        <v>176</v>
      </c>
    </row>
    <row r="2" spans="1:15" ht="18" customHeight="1">
      <c r="A2" s="30" t="s">
        <v>88</v>
      </c>
      <c r="B2" s="31"/>
      <c r="C2" s="31"/>
      <c r="D2" s="31"/>
      <c r="E2" s="32"/>
      <c r="N2" s="33"/>
    </row>
    <row r="3" spans="1:15" ht="14.25" thickBot="1">
      <c r="E3" s="40"/>
    </row>
    <row r="4" spans="1:15" ht="18" customHeight="1" thickBot="1">
      <c r="A4" s="272" t="s">
        <v>164</v>
      </c>
      <c r="B4" s="273"/>
      <c r="C4" s="274"/>
      <c r="D4" s="292" t="s">
        <v>97</v>
      </c>
      <c r="E4" s="293"/>
      <c r="F4" s="293"/>
      <c r="G4" s="293"/>
      <c r="H4" s="163" t="s">
        <v>98</v>
      </c>
      <c r="I4" s="294" t="s">
        <v>4</v>
      </c>
      <c r="J4" s="295"/>
      <c r="K4" s="161"/>
      <c r="N4" s="33"/>
    </row>
    <row r="5" spans="1:15" ht="18" customHeight="1" thickBot="1">
      <c r="A5" s="287" t="s">
        <v>163</v>
      </c>
      <c r="B5" s="288"/>
      <c r="C5" s="289"/>
      <c r="D5" s="289" t="s">
        <v>165</v>
      </c>
      <c r="E5" s="290"/>
      <c r="F5" s="290"/>
      <c r="G5" s="290"/>
      <c r="H5" s="290"/>
      <c r="I5" s="290"/>
      <c r="J5" s="291"/>
      <c r="K5" s="162"/>
      <c r="N5" s="33"/>
    </row>
    <row r="6" spans="1:15" ht="9.9499999999999993" customHeight="1" thickBot="1">
      <c r="E6" s="40"/>
    </row>
    <row r="7" spans="1:15">
      <c r="A7" s="73"/>
      <c r="B7" s="74"/>
      <c r="C7" s="74"/>
      <c r="D7" s="74"/>
      <c r="E7" s="75"/>
      <c r="F7" s="55" t="s">
        <v>41</v>
      </c>
      <c r="G7" s="55" t="s">
        <v>42</v>
      </c>
      <c r="H7" s="55" t="s">
        <v>43</v>
      </c>
      <c r="I7" s="55" t="s">
        <v>68</v>
      </c>
      <c r="J7" s="55" t="s">
        <v>95</v>
      </c>
      <c r="K7" s="278" t="s">
        <v>96</v>
      </c>
    </row>
    <row r="8" spans="1:15">
      <c r="A8" s="76"/>
      <c r="B8" s="51"/>
      <c r="C8" s="51"/>
      <c r="D8" s="51"/>
      <c r="E8" s="77"/>
      <c r="F8" s="52" t="s">
        <v>177</v>
      </c>
      <c r="G8" s="52" t="s">
        <v>180</v>
      </c>
      <c r="H8" s="52" t="s">
        <v>181</v>
      </c>
      <c r="I8" s="52" t="s">
        <v>187</v>
      </c>
      <c r="J8" s="52" t="s">
        <v>94</v>
      </c>
      <c r="K8" s="279"/>
    </row>
    <row r="9" spans="1:15" ht="14.25" thickBot="1">
      <c r="A9" s="78"/>
      <c r="B9" s="79"/>
      <c r="C9" s="79"/>
      <c r="D9" s="79"/>
      <c r="E9" s="80"/>
      <c r="F9" s="60" t="s">
        <v>89</v>
      </c>
      <c r="G9" s="60" t="s">
        <v>90</v>
      </c>
      <c r="H9" s="60" t="s">
        <v>91</v>
      </c>
      <c r="I9" s="60" t="s">
        <v>92</v>
      </c>
      <c r="J9" s="60" t="s">
        <v>93</v>
      </c>
      <c r="K9" s="280"/>
    </row>
    <row r="10" spans="1:15" ht="30" customHeight="1">
      <c r="A10" s="59" t="s">
        <v>103</v>
      </c>
      <c r="B10" s="53"/>
      <c r="C10" s="53"/>
      <c r="D10" s="53"/>
      <c r="E10" s="54"/>
      <c r="F10" s="61">
        <f>+F13+F15+F16+F14</f>
        <v>17353181</v>
      </c>
      <c r="G10" s="61">
        <f t="shared" ref="G10:I10" si="0">+G13+G15+G16+G14</f>
        <v>19387644</v>
      </c>
      <c r="H10" s="61">
        <f t="shared" si="0"/>
        <v>21088939</v>
      </c>
      <c r="I10" s="61">
        <f t="shared" si="0"/>
        <v>26159628</v>
      </c>
      <c r="J10" s="61">
        <f t="shared" ref="J10:J45" si="1">IF(F10=0,"-",+I10/F10*100)</f>
        <v>150.74831525124989</v>
      </c>
      <c r="K10" s="62"/>
    </row>
    <row r="11" spans="1:15" ht="17.25" customHeight="1">
      <c r="A11" s="56"/>
      <c r="B11" s="299" t="s">
        <v>4</v>
      </c>
      <c r="C11" s="282"/>
      <c r="D11" s="63" t="s">
        <v>85</v>
      </c>
      <c r="E11" s="64"/>
      <c r="F11" s="133">
        <f>[1]販売計画!D5</f>
        <v>1590</v>
      </c>
      <c r="G11" s="133">
        <v>1716</v>
      </c>
      <c r="H11" s="133">
        <v>1921</v>
      </c>
      <c r="I11" s="133">
        <v>2532</v>
      </c>
      <c r="J11" s="105">
        <f t="shared" si="1"/>
        <v>159.24528301886792</v>
      </c>
      <c r="K11" s="275" t="s">
        <v>171</v>
      </c>
      <c r="L11" t="s">
        <v>100</v>
      </c>
      <c r="O11" s="34"/>
    </row>
    <row r="12" spans="1:15" ht="17.25" customHeight="1">
      <c r="A12" s="57"/>
      <c r="B12" s="283"/>
      <c r="C12" s="284"/>
      <c r="D12" s="65" t="s">
        <v>86</v>
      </c>
      <c r="E12" s="66"/>
      <c r="F12" s="134">
        <f>[1]販売計画!D7</f>
        <v>67098</v>
      </c>
      <c r="G12" s="134">
        <v>73788</v>
      </c>
      <c r="H12" s="134">
        <v>82603</v>
      </c>
      <c r="I12" s="134">
        <v>108876</v>
      </c>
      <c r="J12" s="106">
        <f t="shared" si="1"/>
        <v>162.26415094339623</v>
      </c>
      <c r="K12" s="276"/>
      <c r="L12" t="s">
        <v>99</v>
      </c>
      <c r="O12" s="34"/>
    </row>
    <row r="13" spans="1:15" ht="17.25" customHeight="1">
      <c r="A13" s="57"/>
      <c r="B13" s="285"/>
      <c r="C13" s="286"/>
      <c r="D13" s="67" t="s">
        <v>87</v>
      </c>
      <c r="E13" s="68"/>
      <c r="F13" s="135">
        <f>[1]販売計画!D9</f>
        <v>12211836</v>
      </c>
      <c r="G13" s="135">
        <v>14241084</v>
      </c>
      <c r="H13" s="135">
        <v>15942379</v>
      </c>
      <c r="I13" s="135">
        <v>21013068</v>
      </c>
      <c r="J13" s="61">
        <f t="shared" si="1"/>
        <v>172.07132490151358</v>
      </c>
      <c r="K13" s="277"/>
      <c r="O13" s="34"/>
    </row>
    <row r="14" spans="1:15" ht="26.45" customHeight="1">
      <c r="A14" s="57"/>
      <c r="B14" s="266" t="s">
        <v>167</v>
      </c>
      <c r="C14" s="267"/>
      <c r="D14" s="267"/>
      <c r="E14" s="268"/>
      <c r="F14" s="135">
        <f>[1]販売計画!D14</f>
        <v>3346560</v>
      </c>
      <c r="G14" s="135">
        <v>3346560</v>
      </c>
      <c r="H14" s="135">
        <v>3346560</v>
      </c>
      <c r="I14" s="135">
        <v>3346560</v>
      </c>
      <c r="J14" s="107">
        <f t="shared" si="1"/>
        <v>100</v>
      </c>
      <c r="K14" s="173" t="s">
        <v>218</v>
      </c>
      <c r="O14" s="34"/>
    </row>
    <row r="15" spans="1:15" ht="30" customHeight="1">
      <c r="A15" s="57"/>
      <c r="B15" s="269" t="s">
        <v>168</v>
      </c>
      <c r="C15" s="270"/>
      <c r="D15" s="270"/>
      <c r="E15" s="271"/>
      <c r="F15" s="132">
        <f>SUM([1]収支計画!D7:D8)</f>
        <v>1794785</v>
      </c>
      <c r="G15" s="132">
        <v>1800000</v>
      </c>
      <c r="H15" s="132">
        <v>1800000</v>
      </c>
      <c r="I15" s="132">
        <v>1800000</v>
      </c>
      <c r="J15" s="107">
        <f>IF(F15=0,"-",+I15/F15*100)</f>
        <v>100.29056405084731</v>
      </c>
      <c r="K15" s="137" t="s">
        <v>156</v>
      </c>
      <c r="O15" s="34"/>
    </row>
    <row r="16" spans="1:15" ht="19.5" customHeight="1" thickBot="1">
      <c r="A16" s="58"/>
      <c r="B16" s="69" t="s">
        <v>169</v>
      </c>
      <c r="C16" s="69"/>
      <c r="D16" s="70"/>
      <c r="E16" s="71"/>
      <c r="F16" s="136">
        <f>[1]収支計画!D9</f>
        <v>0</v>
      </c>
      <c r="G16" s="136">
        <f>+F16</f>
        <v>0</v>
      </c>
      <c r="H16" s="136">
        <f>+F16</f>
        <v>0</v>
      </c>
      <c r="I16" s="136">
        <f>+F16</f>
        <v>0</v>
      </c>
      <c r="J16" s="108" t="str">
        <f t="shared" si="1"/>
        <v>-</v>
      </c>
      <c r="K16" s="138" t="s">
        <v>170</v>
      </c>
      <c r="O16" s="34"/>
    </row>
    <row r="17" spans="1:12" ht="30" customHeight="1">
      <c r="A17" s="90" t="s">
        <v>104</v>
      </c>
      <c r="B17" s="91"/>
      <c r="C17" s="91"/>
      <c r="D17" s="91"/>
      <c r="E17" s="92"/>
      <c r="F17" s="93">
        <f>SUMIF($L$18:$L$46,1,F$18:F$46)</f>
        <v>16609378.74</v>
      </c>
      <c r="G17" s="93">
        <f t="shared" ref="G17:I17" si="2">SUMIF($L$18:$L$46,1,G$18:G$46)</f>
        <v>17594800</v>
      </c>
      <c r="H17" s="93">
        <f t="shared" si="2"/>
        <v>19389300</v>
      </c>
      <c r="I17" s="93">
        <f t="shared" si="2"/>
        <v>22763000</v>
      </c>
      <c r="J17" s="93">
        <f t="shared" si="1"/>
        <v>137.04907544302284</v>
      </c>
      <c r="K17" s="94"/>
    </row>
    <row r="18" spans="1:12" ht="17.25" customHeight="1">
      <c r="A18" s="95"/>
      <c r="B18" s="81" t="s">
        <v>219</v>
      </c>
      <c r="C18" s="81"/>
      <c r="D18" s="85"/>
      <c r="E18" s="86" t="s">
        <v>110</v>
      </c>
      <c r="F18" s="109">
        <f>22500*8+F19</f>
        <v>943359</v>
      </c>
      <c r="G18" s="109">
        <f t="shared" ref="G18:I18" si="3">22500*8+G19</f>
        <v>1003900</v>
      </c>
      <c r="H18" s="109">
        <f t="shared" si="3"/>
        <v>1102300</v>
      </c>
      <c r="I18" s="109">
        <f t="shared" si="3"/>
        <v>1395600</v>
      </c>
      <c r="J18" s="116">
        <f t="shared" si="1"/>
        <v>147.93943769021126</v>
      </c>
      <c r="K18" s="296" t="s">
        <v>153</v>
      </c>
      <c r="L18" s="165">
        <v>1</v>
      </c>
    </row>
    <row r="19" spans="1:12" ht="17.25" customHeight="1">
      <c r="A19" s="95"/>
      <c r="B19" s="82"/>
      <c r="C19" s="87" t="s">
        <v>101</v>
      </c>
      <c r="D19" s="88"/>
      <c r="E19" s="89" t="s">
        <v>110</v>
      </c>
      <c r="F19" s="110">
        <f>48010/100*F$11</f>
        <v>763359</v>
      </c>
      <c r="G19" s="110">
        <f>ROUND(48010/100*G$11,-2)</f>
        <v>823900</v>
      </c>
      <c r="H19" s="110">
        <f>ROUND(48010/100*H$11,-2)</f>
        <v>922300</v>
      </c>
      <c r="I19" s="110">
        <f>ROUND(48010/100*I$11,-2)</f>
        <v>1215600</v>
      </c>
      <c r="J19" s="117">
        <f t="shared" si="1"/>
        <v>159.2435538193694</v>
      </c>
      <c r="K19" s="297"/>
      <c r="L19" s="165"/>
    </row>
    <row r="20" spans="1:12" ht="17.25" customHeight="1">
      <c r="A20" s="95"/>
      <c r="B20" s="81" t="s">
        <v>46</v>
      </c>
      <c r="C20" s="81"/>
      <c r="D20" s="85"/>
      <c r="E20" s="86" t="s">
        <v>110</v>
      </c>
      <c r="F20" s="109">
        <f>36400*8+F21</f>
        <v>1806788</v>
      </c>
      <c r="G20" s="109">
        <f t="shared" ref="G20:I20" si="4">36400*8+G21</f>
        <v>1926900</v>
      </c>
      <c r="H20" s="109">
        <f t="shared" si="4"/>
        <v>2122300</v>
      </c>
      <c r="I20" s="109">
        <f t="shared" si="4"/>
        <v>2704700</v>
      </c>
      <c r="J20" s="116">
        <f t="shared" si="1"/>
        <v>149.69658864238639</v>
      </c>
      <c r="K20" s="296" t="s">
        <v>107</v>
      </c>
      <c r="L20" s="165">
        <v>1</v>
      </c>
    </row>
    <row r="21" spans="1:12" ht="17.25" customHeight="1">
      <c r="A21" s="95"/>
      <c r="B21" s="82"/>
      <c r="C21" s="87" t="s">
        <v>101</v>
      </c>
      <c r="D21" s="88"/>
      <c r="E21" s="89" t="s">
        <v>110</v>
      </c>
      <c r="F21" s="110">
        <f>95320/100*F$11</f>
        <v>1515588</v>
      </c>
      <c r="G21" s="110">
        <f>ROUND(95320/100*G$11,-2)</f>
        <v>1635700</v>
      </c>
      <c r="H21" s="110">
        <f t="shared" ref="H21:I21" si="5">ROUND(95320/100*H$11,-2)</f>
        <v>1831100</v>
      </c>
      <c r="I21" s="110">
        <f t="shared" si="5"/>
        <v>2413500</v>
      </c>
      <c r="J21" s="117">
        <f t="shared" si="1"/>
        <v>159.24512466448667</v>
      </c>
      <c r="K21" s="297"/>
      <c r="L21" s="165"/>
    </row>
    <row r="22" spans="1:12" ht="17.25" customHeight="1">
      <c r="A22" s="95"/>
      <c r="B22" s="81" t="s">
        <v>47</v>
      </c>
      <c r="C22" s="81"/>
      <c r="D22" s="85"/>
      <c r="E22" s="86" t="s">
        <v>110</v>
      </c>
      <c r="F22" s="109">
        <f>33100*8+F23</f>
        <v>1524875</v>
      </c>
      <c r="G22" s="109">
        <f t="shared" ref="G22:I22" si="6">33100*8+G23</f>
        <v>1624700</v>
      </c>
      <c r="H22" s="109">
        <f t="shared" si="6"/>
        <v>1787200</v>
      </c>
      <c r="I22" s="109">
        <f t="shared" si="6"/>
        <v>2271400</v>
      </c>
      <c r="J22" s="116">
        <f t="shared" si="1"/>
        <v>148.95647184195425</v>
      </c>
      <c r="K22" s="296" t="s">
        <v>108</v>
      </c>
      <c r="L22" s="165">
        <v>1</v>
      </c>
    </row>
    <row r="23" spans="1:12" ht="17.25" customHeight="1">
      <c r="A23" s="95"/>
      <c r="B23" s="82"/>
      <c r="C23" s="87" t="s">
        <v>101</v>
      </c>
      <c r="D23" s="88"/>
      <c r="E23" s="89" t="s">
        <v>110</v>
      </c>
      <c r="F23" s="110">
        <f>79250/100*F$11</f>
        <v>1260075</v>
      </c>
      <c r="G23" s="110">
        <f>ROUND(79250/100*G$11,-2)</f>
        <v>1359900</v>
      </c>
      <c r="H23" s="110">
        <f t="shared" ref="H23:I23" si="7">ROUND(79250/100*H$11,-2)</f>
        <v>1522400</v>
      </c>
      <c r="I23" s="110">
        <f t="shared" si="7"/>
        <v>2006600</v>
      </c>
      <c r="J23" s="117">
        <f t="shared" si="1"/>
        <v>159.24448941531259</v>
      </c>
      <c r="K23" s="297"/>
      <c r="L23" s="165"/>
    </row>
    <row r="24" spans="1:12" ht="17.25" customHeight="1">
      <c r="A24" s="95"/>
      <c r="B24" s="81" t="s">
        <v>48</v>
      </c>
      <c r="C24" s="81"/>
      <c r="D24" s="85"/>
      <c r="E24" s="86" t="s">
        <v>110</v>
      </c>
      <c r="F24" s="109">
        <f>96900*8+F25</f>
        <v>1118640</v>
      </c>
      <c r="G24" s="109">
        <f t="shared" ref="G24:I24" si="8">96900*8+G25</f>
        <v>1145900</v>
      </c>
      <c r="H24" s="109">
        <f t="shared" si="8"/>
        <v>1190100</v>
      </c>
      <c r="I24" s="109">
        <f t="shared" si="8"/>
        <v>1322100</v>
      </c>
      <c r="J24" s="116">
        <f t="shared" si="1"/>
        <v>118.1881570478438</v>
      </c>
      <c r="K24" s="296" t="s">
        <v>109</v>
      </c>
      <c r="L24" s="165">
        <v>1</v>
      </c>
    </row>
    <row r="25" spans="1:12" ht="17.25" customHeight="1">
      <c r="A25" s="95"/>
      <c r="B25" s="82"/>
      <c r="C25" s="87" t="s">
        <v>101</v>
      </c>
      <c r="D25" s="88"/>
      <c r="E25" s="89" t="s">
        <v>110</v>
      </c>
      <c r="F25" s="110">
        <f>21600/100*F$11</f>
        <v>343440</v>
      </c>
      <c r="G25" s="110">
        <f>ROUND(21600/100*G$11,-2)</f>
        <v>370700</v>
      </c>
      <c r="H25" s="110">
        <f>ROUND(21600/100*H$11,-2)</f>
        <v>414900</v>
      </c>
      <c r="I25" s="110">
        <f>ROUND(21600/100*I$11,-2)</f>
        <v>546900</v>
      </c>
      <c r="J25" s="117">
        <f t="shared" si="1"/>
        <v>159.24178895877009</v>
      </c>
      <c r="K25" s="297"/>
      <c r="L25" s="165"/>
    </row>
    <row r="26" spans="1:12" ht="17.25" customHeight="1">
      <c r="A26" s="95"/>
      <c r="B26" s="81" t="s">
        <v>49</v>
      </c>
      <c r="C26" s="81"/>
      <c r="D26" s="85"/>
      <c r="E26" s="86" t="s">
        <v>110</v>
      </c>
      <c r="F26" s="109">
        <f>12500*8+F27</f>
        <v>1177702</v>
      </c>
      <c r="G26" s="109">
        <f t="shared" ref="G26:I26" si="9">12500*8+G27</f>
        <v>1263100</v>
      </c>
      <c r="H26" s="109">
        <f t="shared" si="9"/>
        <v>1402100</v>
      </c>
      <c r="I26" s="109">
        <f t="shared" si="9"/>
        <v>1816200</v>
      </c>
      <c r="J26" s="116">
        <f t="shared" si="1"/>
        <v>154.21558254974519</v>
      </c>
      <c r="K26" s="296" t="s">
        <v>125</v>
      </c>
      <c r="L26" s="165">
        <v>1</v>
      </c>
    </row>
    <row r="27" spans="1:12" ht="17.25" customHeight="1">
      <c r="A27" s="95"/>
      <c r="B27" s="82"/>
      <c r="C27" s="87" t="s">
        <v>101</v>
      </c>
      <c r="D27" s="88"/>
      <c r="E27" s="89" t="s">
        <v>110</v>
      </c>
      <c r="F27" s="110">
        <f>67780/100*F$11</f>
        <v>1077702</v>
      </c>
      <c r="G27" s="110">
        <f>ROUND(67780/100*G$11,-2)</f>
        <v>1163100</v>
      </c>
      <c r="H27" s="110">
        <f>ROUND(67780/100*H$11,-2)</f>
        <v>1302100</v>
      </c>
      <c r="I27" s="110">
        <f>ROUND(67780/100*I$11,-2)</f>
        <v>1716200</v>
      </c>
      <c r="J27" s="117">
        <f t="shared" si="1"/>
        <v>159.24624803517113</v>
      </c>
      <c r="K27" s="297"/>
      <c r="L27" s="165"/>
    </row>
    <row r="28" spans="1:12" ht="17.25" customHeight="1">
      <c r="A28" s="95"/>
      <c r="B28" s="81" t="s">
        <v>54</v>
      </c>
      <c r="C28" s="81"/>
      <c r="D28" s="85"/>
      <c r="E28" s="86" t="s">
        <v>110</v>
      </c>
      <c r="F28" s="109">
        <f>F29+352358*80/(F11+80)</f>
        <v>537093.74</v>
      </c>
      <c r="G28" s="109">
        <f>ROUND(G29+352358*80/(G11+80),-2)</f>
        <v>551700</v>
      </c>
      <c r="H28" s="109">
        <f>ROUND(H29+352358*80/(H11+80),-2)</f>
        <v>575600</v>
      </c>
      <c r="I28" s="109">
        <f>ROUND(I29+352358*80/(I11+80),-2)</f>
        <v>646500</v>
      </c>
      <c r="J28" s="116">
        <f t="shared" si="1"/>
        <v>120.37004936978039</v>
      </c>
      <c r="K28" s="296" t="s">
        <v>126</v>
      </c>
      <c r="L28" s="165">
        <v>1</v>
      </c>
    </row>
    <row r="29" spans="1:12" ht="17.25" customHeight="1">
      <c r="A29" s="95"/>
      <c r="B29" s="82"/>
      <c r="C29" s="87" t="s">
        <v>101</v>
      </c>
      <c r="D29" s="88"/>
      <c r="E29" s="89" t="s">
        <v>110</v>
      </c>
      <c r="F29" s="110">
        <f>F11*43*0.7*193*0.04*0.5+352358*F11/(F11+80)</f>
        <v>520214.31485029939</v>
      </c>
      <c r="G29" s="110">
        <f>ROUND(G11*43*0.7*193*0.04*0.5+352358*G11/(G11+80),-2)</f>
        <v>536000</v>
      </c>
      <c r="H29" s="110">
        <f>ROUND(H11*43*0.7*193*0.04*0.5+352358*H11/(H11+80),-2)</f>
        <v>561500</v>
      </c>
      <c r="I29" s="110">
        <f>ROUND(I11*43*0.7*193*0.04*0.5+352358*I11/(I11+80),-2)</f>
        <v>635700</v>
      </c>
      <c r="J29" s="117">
        <f t="shared" si="1"/>
        <v>122.19963616013405</v>
      </c>
      <c r="K29" s="297"/>
      <c r="L29" s="165"/>
    </row>
    <row r="30" spans="1:12" ht="17.25" customHeight="1">
      <c r="A30" s="95"/>
      <c r="B30" s="81" t="s">
        <v>73</v>
      </c>
      <c r="C30" s="81"/>
      <c r="D30" s="85"/>
      <c r="E30" s="86" t="s">
        <v>110</v>
      </c>
      <c r="F30" s="109">
        <f>69720+501984+F31</f>
        <v>670704</v>
      </c>
      <c r="G30" s="109">
        <f>ROUND(69720+501984+G31,-2)</f>
        <v>680700</v>
      </c>
      <c r="H30" s="109">
        <f t="shared" ref="H30:I30" si="10">ROUND(69720+501984+H31,-2)</f>
        <v>694000</v>
      </c>
      <c r="I30" s="109">
        <f t="shared" si="10"/>
        <v>733400</v>
      </c>
      <c r="J30" s="116">
        <f t="shared" si="1"/>
        <v>109.34778978506168</v>
      </c>
      <c r="K30" s="296" t="s">
        <v>113</v>
      </c>
      <c r="L30" s="165">
        <v>1</v>
      </c>
    </row>
    <row r="31" spans="1:12" ht="17.25" customHeight="1">
      <c r="A31" s="95"/>
      <c r="B31" s="82"/>
      <c r="C31" s="87" t="s">
        <v>101</v>
      </c>
      <c r="D31" s="88"/>
      <c r="E31" s="89" t="s">
        <v>110</v>
      </c>
      <c r="F31" s="110">
        <f>66000/60*90</f>
        <v>99000</v>
      </c>
      <c r="G31" s="110">
        <f>ROUND((G12-$F$12)/60*90,-2)+$F$31</f>
        <v>109000</v>
      </c>
      <c r="H31" s="110">
        <f>ROUND((H12-$F$12)/60*90,-2)+$F$31</f>
        <v>122300</v>
      </c>
      <c r="I31" s="110">
        <f>ROUND((I12-$F$12)/60*90,-2)+$F$31</f>
        <v>161700</v>
      </c>
      <c r="J31" s="117">
        <f t="shared" si="1"/>
        <v>163.33333333333334</v>
      </c>
      <c r="K31" s="297"/>
      <c r="L31" s="165"/>
    </row>
    <row r="32" spans="1:12" ht="17.25" customHeight="1">
      <c r="A32" s="95"/>
      <c r="B32" s="81" t="s">
        <v>105</v>
      </c>
      <c r="C32" s="81"/>
      <c r="D32" s="85"/>
      <c r="E32" s="86" t="s">
        <v>110</v>
      </c>
      <c r="F32" s="109">
        <f>900*480+F33</f>
        <v>1590200</v>
      </c>
      <c r="G32" s="109">
        <f>900*480+G33</f>
        <v>1602600</v>
      </c>
      <c r="H32" s="109">
        <f>900*480+H33</f>
        <v>1604100</v>
      </c>
      <c r="I32" s="109">
        <f>900*480+I33</f>
        <v>1626200</v>
      </c>
      <c r="J32" s="116">
        <f t="shared" si="1"/>
        <v>102.26386618035468</v>
      </c>
      <c r="K32" s="296" t="s">
        <v>120</v>
      </c>
      <c r="L32" s="165">
        <v>1</v>
      </c>
    </row>
    <row r="33" spans="1:12" ht="17.25" customHeight="1">
      <c r="A33" s="95"/>
      <c r="B33" s="82"/>
      <c r="C33" s="87" t="s">
        <v>101</v>
      </c>
      <c r="D33" s="88"/>
      <c r="E33" s="89" t="s">
        <v>110</v>
      </c>
      <c r="F33" s="110">
        <f>900*(1728-480)+35000</f>
        <v>1158200</v>
      </c>
      <c r="G33" s="111">
        <f>ROUND(+$F$33+(($I$11/$F$11)*(G11/$F$11)*900*8),-2)</f>
        <v>1170600</v>
      </c>
      <c r="H33" s="111">
        <f>ROUND(+$F$33+(($I$11/$F$11)*(H11/$F$11)*900*8),-2)</f>
        <v>1172100</v>
      </c>
      <c r="I33" s="111">
        <f>+$F$33+5*900*8</f>
        <v>1194200</v>
      </c>
      <c r="J33" s="117">
        <f t="shared" si="1"/>
        <v>103.10827145570714</v>
      </c>
      <c r="K33" s="297"/>
      <c r="L33" s="165"/>
    </row>
    <row r="34" spans="1:12" ht="17.25" customHeight="1">
      <c r="A34" s="95"/>
      <c r="B34" s="81" t="s">
        <v>53</v>
      </c>
      <c r="C34" s="81"/>
      <c r="D34" s="85"/>
      <c r="E34" s="86" t="s">
        <v>110</v>
      </c>
      <c r="F34" s="109">
        <f>13500/10*80*(1490/(1490+80))+F35</f>
        <v>2061500</v>
      </c>
      <c r="G34" s="109">
        <f>ROUND(13500/10*80*((1490+G11-$F$11)/(1490+G11-$F$11+80))+G35,-2)</f>
        <v>2165900</v>
      </c>
      <c r="H34" s="109">
        <f>ROUND(13500/10*80*((1490+H11-$F$11)/(1490+H11-$F$11+80))+H35,-2)</f>
        <v>2422400</v>
      </c>
      <c r="I34" s="109">
        <f>ROUND(13500/10*80*((1490+I11-$F$11)/(1490+I11-$F$11+80))+I35,-2)</f>
        <v>3235800</v>
      </c>
      <c r="J34" s="116">
        <f t="shared" si="1"/>
        <v>156.96337618239147</v>
      </c>
      <c r="K34" s="296" t="s">
        <v>111</v>
      </c>
      <c r="L34" s="165">
        <v>1</v>
      </c>
    </row>
    <row r="35" spans="1:12" ht="17.25" customHeight="1">
      <c r="A35" s="95"/>
      <c r="B35" s="82"/>
      <c r="C35" s="87" t="s">
        <v>101</v>
      </c>
      <c r="D35" s="88"/>
      <c r="E35" s="89" t="s">
        <v>110</v>
      </c>
      <c r="F35" s="110">
        <f>13500/10*1490*(1490/(1490+80))+50000</f>
        <v>1959003.1847133758</v>
      </c>
      <c r="G35" s="110">
        <f>ROUND(13500/10*(G11-$F$11)*((G11-$F$11))/((G11-$F$11+80))+$F$35,-2)</f>
        <v>2063000</v>
      </c>
      <c r="H35" s="110">
        <f>ROUND(13500/10*(H11-$F$11)*((H11-$F$11))/((H11-$F$11+80))+$F$35,-2)</f>
        <v>2318900</v>
      </c>
      <c r="I35" s="110">
        <f>ROUND(13500/10*(I11-$F$11)*((I11-$F$11))/((I11-$F$11+80))+$F$35,-2)</f>
        <v>3131200</v>
      </c>
      <c r="J35" s="117">
        <f t="shared" si="1"/>
        <v>159.83639150939561</v>
      </c>
      <c r="K35" s="297"/>
      <c r="L35" s="165"/>
    </row>
    <row r="36" spans="1:12" ht="17.25" customHeight="1">
      <c r="A36" s="95"/>
      <c r="B36" s="81" t="s">
        <v>55</v>
      </c>
      <c r="C36" s="81"/>
      <c r="D36" s="85"/>
      <c r="E36" s="86" t="s">
        <v>110</v>
      </c>
      <c r="F36" s="109">
        <f>+F37</f>
        <v>663050</v>
      </c>
      <c r="G36" s="109">
        <f>+G37</f>
        <v>719100</v>
      </c>
      <c r="H36" s="109">
        <f>+H37</f>
        <v>810300</v>
      </c>
      <c r="I36" s="109">
        <f>+I37</f>
        <v>1082200</v>
      </c>
      <c r="J36" s="116">
        <f t="shared" si="1"/>
        <v>163.21544378252017</v>
      </c>
      <c r="K36" s="296" t="s">
        <v>149</v>
      </c>
      <c r="L36" s="165">
        <v>1</v>
      </c>
    </row>
    <row r="37" spans="1:12" ht="17.25" customHeight="1">
      <c r="A37" s="95"/>
      <c r="B37" s="82"/>
      <c r="C37" s="87" t="s">
        <v>101</v>
      </c>
      <c r="D37" s="88"/>
      <c r="E37" s="89" t="s">
        <v>110</v>
      </c>
      <c r="F37" s="110">
        <f>445*1490</f>
        <v>663050</v>
      </c>
      <c r="G37" s="110">
        <f>ROUND($F$37+445*(G11-$F$11),-2)</f>
        <v>719100</v>
      </c>
      <c r="H37" s="110">
        <f>ROUND($F$37+445*(H11-$F$11),-2)</f>
        <v>810300</v>
      </c>
      <c r="I37" s="110">
        <f>ROUND($F$37+445*(I11-$F$11),-2)</f>
        <v>1082200</v>
      </c>
      <c r="J37" s="117">
        <f t="shared" si="1"/>
        <v>163.21544378252017</v>
      </c>
      <c r="K37" s="298"/>
      <c r="L37" s="165"/>
    </row>
    <row r="38" spans="1:12" ht="17.25" customHeight="1">
      <c r="A38" s="95"/>
      <c r="B38" s="81" t="s">
        <v>52</v>
      </c>
      <c r="C38" s="81"/>
      <c r="D38" s="85"/>
      <c r="E38" s="86" t="s">
        <v>110</v>
      </c>
      <c r="F38" s="109">
        <f>+F39</f>
        <v>270000</v>
      </c>
      <c r="G38" s="109">
        <f t="shared" ref="G38:I38" si="11">+G39</f>
        <v>0</v>
      </c>
      <c r="H38" s="109">
        <f t="shared" si="11"/>
        <v>0</v>
      </c>
      <c r="I38" s="109">
        <f t="shared" si="11"/>
        <v>0</v>
      </c>
      <c r="J38" s="116">
        <f t="shared" si="1"/>
        <v>0</v>
      </c>
      <c r="K38" s="296" t="s">
        <v>122</v>
      </c>
      <c r="L38" s="165">
        <v>1</v>
      </c>
    </row>
    <row r="39" spans="1:12" ht="17.25" customHeight="1">
      <c r="A39" s="95"/>
      <c r="B39" s="82"/>
      <c r="C39" s="87" t="s">
        <v>101</v>
      </c>
      <c r="D39" s="88"/>
      <c r="E39" s="89" t="s">
        <v>110</v>
      </c>
      <c r="F39" s="110">
        <f>15000*18</f>
        <v>270000</v>
      </c>
      <c r="G39" s="111">
        <v>0</v>
      </c>
      <c r="H39" s="111">
        <v>0</v>
      </c>
      <c r="I39" s="111">
        <v>0</v>
      </c>
      <c r="J39" s="117">
        <f t="shared" si="1"/>
        <v>0</v>
      </c>
      <c r="K39" s="297"/>
      <c r="L39" s="165"/>
    </row>
    <row r="40" spans="1:12" ht="30" customHeight="1">
      <c r="A40" s="95"/>
      <c r="B40" s="72" t="s">
        <v>44</v>
      </c>
      <c r="C40" s="72"/>
      <c r="D40" s="83"/>
      <c r="E40" s="84" t="s">
        <v>110</v>
      </c>
      <c r="F40" s="112">
        <v>203850</v>
      </c>
      <c r="G40" s="112">
        <v>300000</v>
      </c>
      <c r="H40" s="112">
        <v>500000</v>
      </c>
      <c r="I40" s="112">
        <v>750000</v>
      </c>
      <c r="J40" s="118">
        <f t="shared" si="1"/>
        <v>367.91758646063283</v>
      </c>
      <c r="K40" s="120" t="s">
        <v>174</v>
      </c>
      <c r="L40" s="166">
        <v>1</v>
      </c>
    </row>
    <row r="41" spans="1:12" ht="30" customHeight="1">
      <c r="A41" s="95"/>
      <c r="B41" s="72" t="s">
        <v>40</v>
      </c>
      <c r="C41" s="72"/>
      <c r="D41" s="83"/>
      <c r="E41" s="84" t="s">
        <v>110</v>
      </c>
      <c r="F41" s="112">
        <v>2157620</v>
      </c>
      <c r="G41" s="113">
        <f>+ROUND(((12960000-5000000)/7*0.5)+$F$41,-2)</f>
        <v>2726200</v>
      </c>
      <c r="H41" s="113">
        <f>+ROUND(((12960000-5000000)/7)+$F$41,-2)</f>
        <v>3294800</v>
      </c>
      <c r="I41" s="113">
        <f>+ROUND(((12960000-5000000)/7)+$F$41,-2)</f>
        <v>3294800</v>
      </c>
      <c r="J41" s="118">
        <f t="shared" si="1"/>
        <v>152.70529564983639</v>
      </c>
      <c r="K41" s="120" t="s">
        <v>123</v>
      </c>
      <c r="L41" s="165">
        <v>1</v>
      </c>
    </row>
    <row r="42" spans="1:12" ht="30" customHeight="1">
      <c r="A42" s="95"/>
      <c r="B42" s="81" t="s">
        <v>50</v>
      </c>
      <c r="C42" s="72"/>
      <c r="D42" s="83"/>
      <c r="E42" s="84" t="s">
        <v>102</v>
      </c>
      <c r="F42" s="112">
        <v>694693</v>
      </c>
      <c r="G42" s="113">
        <f>+ROUND(F42,-2)</f>
        <v>694700</v>
      </c>
      <c r="H42" s="113">
        <f t="shared" ref="H42:I46" si="12">+ROUND(G42,-2)</f>
        <v>694700</v>
      </c>
      <c r="I42" s="113">
        <f t="shared" si="12"/>
        <v>694700</v>
      </c>
      <c r="J42" s="118">
        <f t="shared" si="1"/>
        <v>100.00100763934572</v>
      </c>
      <c r="K42" s="120"/>
      <c r="L42" s="166">
        <v>1</v>
      </c>
    </row>
    <row r="43" spans="1:12" ht="30" customHeight="1">
      <c r="A43" s="95"/>
      <c r="B43" s="81" t="s">
        <v>51</v>
      </c>
      <c r="C43" s="72"/>
      <c r="D43" s="83"/>
      <c r="E43" s="84" t="s">
        <v>102</v>
      </c>
      <c r="F43" s="112">
        <v>1022688</v>
      </c>
      <c r="G43" s="113">
        <f>+ROUND(F43,-2)</f>
        <v>1022700</v>
      </c>
      <c r="H43" s="113">
        <f t="shared" si="12"/>
        <v>1022700</v>
      </c>
      <c r="I43" s="113">
        <f t="shared" si="12"/>
        <v>1022700</v>
      </c>
      <c r="J43" s="118">
        <f t="shared" si="1"/>
        <v>100.00117337839107</v>
      </c>
      <c r="K43" s="120"/>
      <c r="L43" s="165">
        <v>1</v>
      </c>
    </row>
    <row r="44" spans="1:12" ht="30" customHeight="1">
      <c r="A44" s="95"/>
      <c r="B44" s="72" t="s">
        <v>173</v>
      </c>
      <c r="C44" s="72"/>
      <c r="D44" s="83"/>
      <c r="E44" s="84" t="s">
        <v>102</v>
      </c>
      <c r="F44" s="112">
        <v>41960</v>
      </c>
      <c r="G44" s="113">
        <f>+ROUND(F44,-2)</f>
        <v>42000</v>
      </c>
      <c r="H44" s="113">
        <f t="shared" si="12"/>
        <v>42000</v>
      </c>
      <c r="I44" s="113">
        <f t="shared" si="12"/>
        <v>42000</v>
      </c>
      <c r="J44" s="118">
        <f t="shared" si="1"/>
        <v>100.09532888465205</v>
      </c>
      <c r="K44" s="120"/>
      <c r="L44" s="166">
        <v>1</v>
      </c>
    </row>
    <row r="45" spans="1:12" ht="30" customHeight="1">
      <c r="A45" s="95"/>
      <c r="B45" s="72" t="s">
        <v>142</v>
      </c>
      <c r="C45" s="72"/>
      <c r="D45" s="83"/>
      <c r="E45" s="84" t="s">
        <v>147</v>
      </c>
      <c r="F45" s="112">
        <f>26400+48256+50000</f>
        <v>124656</v>
      </c>
      <c r="G45" s="113">
        <f>+ROUND(F45,-2)</f>
        <v>124700</v>
      </c>
      <c r="H45" s="113">
        <f t="shared" si="12"/>
        <v>124700</v>
      </c>
      <c r="I45" s="113">
        <f t="shared" si="12"/>
        <v>124700</v>
      </c>
      <c r="J45" s="118">
        <f t="shared" si="1"/>
        <v>100.03529713772301</v>
      </c>
      <c r="K45" s="120"/>
      <c r="L45" s="165">
        <v>1</v>
      </c>
    </row>
    <row r="46" spans="1:12" ht="30" customHeight="1" thickBot="1">
      <c r="A46" s="96"/>
      <c r="B46" s="97" t="s">
        <v>150</v>
      </c>
      <c r="C46" s="97"/>
      <c r="D46" s="98"/>
      <c r="E46" s="99" t="s">
        <v>102</v>
      </c>
      <c r="F46" s="114">
        <v>0</v>
      </c>
      <c r="G46" s="115">
        <f>+ROUND(F46,-2)</f>
        <v>0</v>
      </c>
      <c r="H46" s="115">
        <f t="shared" si="12"/>
        <v>0</v>
      </c>
      <c r="I46" s="115">
        <f t="shared" si="12"/>
        <v>0</v>
      </c>
      <c r="J46" s="119" t="str">
        <f>IF(F46=0,"-",+I46/F46*100)</f>
        <v>-</v>
      </c>
      <c r="K46" s="121"/>
      <c r="L46" s="166">
        <v>1</v>
      </c>
    </row>
    <row r="47" spans="1:12" ht="30" customHeight="1" thickBot="1">
      <c r="A47" s="100" t="s">
        <v>115</v>
      </c>
      <c r="B47" s="101"/>
      <c r="C47" s="101"/>
      <c r="D47" s="101" t="s">
        <v>116</v>
      </c>
      <c r="E47" s="102"/>
      <c r="F47" s="103">
        <f>+F10-F17</f>
        <v>743802.25999999978</v>
      </c>
      <c r="G47" s="103">
        <f t="shared" ref="G47:I47" si="13">+G10-G17</f>
        <v>1792844</v>
      </c>
      <c r="H47" s="103">
        <f t="shared" si="13"/>
        <v>1699639</v>
      </c>
      <c r="I47" s="103">
        <f t="shared" si="13"/>
        <v>3396628</v>
      </c>
      <c r="J47" s="103">
        <f t="shared" ref="J47" si="14">IF(F47=0,"-",+I47/F47*100)</f>
        <v>456.65739171053355</v>
      </c>
      <c r="K47" s="104"/>
    </row>
    <row r="48" spans="1:12" ht="30" customHeight="1" thickBot="1">
      <c r="A48" s="100" t="s">
        <v>117</v>
      </c>
      <c r="B48" s="101"/>
      <c r="C48" s="101"/>
      <c r="D48" s="101" t="s">
        <v>106</v>
      </c>
      <c r="E48" s="102"/>
      <c r="F48" s="103">
        <f>+F10-F17+F32</f>
        <v>2334002.2599999998</v>
      </c>
      <c r="G48" s="103">
        <f>+G10-G17+G32</f>
        <v>3395444</v>
      </c>
      <c r="H48" s="103">
        <f>+H10-H17+H32</f>
        <v>3303739</v>
      </c>
      <c r="I48" s="103">
        <f>+I10-I17+I32</f>
        <v>5022828</v>
      </c>
      <c r="J48" s="103">
        <f>IF(F48=0,"-",+I48/F48*100)</f>
        <v>215.20236231476488</v>
      </c>
      <c r="K48" s="160"/>
    </row>
    <row r="49" spans="1:1" ht="15" customHeight="1">
      <c r="A49" t="s">
        <v>157</v>
      </c>
    </row>
    <row r="50" spans="1:1" ht="15" customHeight="1">
      <c r="A50" t="s">
        <v>158</v>
      </c>
    </row>
    <row r="51" spans="1:1" ht="15" customHeight="1">
      <c r="A51" s="1" t="s">
        <v>160</v>
      </c>
    </row>
    <row r="52" spans="1:1" ht="18" customHeight="1">
      <c r="A52" s="37"/>
    </row>
  </sheetData>
  <mergeCells count="21">
    <mergeCell ref="K20:K21"/>
    <mergeCell ref="A4:C4"/>
    <mergeCell ref="D4:G4"/>
    <mergeCell ref="I4:J4"/>
    <mergeCell ref="A5:C5"/>
    <mergeCell ref="D5:J5"/>
    <mergeCell ref="K7:K9"/>
    <mergeCell ref="B11:C13"/>
    <mergeCell ref="K11:K13"/>
    <mergeCell ref="B14:E14"/>
    <mergeCell ref="B15:E15"/>
    <mergeCell ref="K18:K19"/>
    <mergeCell ref="K34:K35"/>
    <mergeCell ref="K36:K37"/>
    <mergeCell ref="K38:K39"/>
    <mergeCell ref="K22:K23"/>
    <mergeCell ref="K24:K25"/>
    <mergeCell ref="K26:K27"/>
    <mergeCell ref="K28:K29"/>
    <mergeCell ref="K30:K31"/>
    <mergeCell ref="K32:K33"/>
  </mergeCells>
  <phoneticPr fontId="1"/>
  <pageMargins left="0.70866141732283472" right="0.70866141732283472" top="0.74803149606299213" bottom="0.74803149606299213" header="0.31496062992125984" footer="0.31496062992125984"/>
  <pageSetup paperSize="9" scale="7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(作成用)付加価値額の拡大額算定</vt:lpstr>
      <vt:lpstr>(作成用)販売計画</vt:lpstr>
      <vt:lpstr>(作成用)収支計画</vt:lpstr>
      <vt:lpstr>(作成用)付加価値額計画</vt:lpstr>
      <vt:lpstr>販売計画 (記載例)</vt:lpstr>
      <vt:lpstr>収支計画（記載例）</vt:lpstr>
      <vt:lpstr>付加価値額計画 (記載例)</vt:lpstr>
      <vt:lpstr>'(作成用)収支計画'!Print_Area</vt:lpstr>
      <vt:lpstr>'(作成用)販売計画'!Print_Area</vt:lpstr>
      <vt:lpstr>'(作成用)付加価値額計画'!Print_Area</vt:lpstr>
      <vt:lpstr>'収支計画（記載例）'!Print_Area</vt:lpstr>
      <vt:lpstr>'販売計画 (記載例)'!Print_Area</vt:lpstr>
      <vt:lpstr>'付加価値額計画 (記載例)'!Print_Area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中国四国農政局</dc:creator>
  <cp:lastModifiedBy>sanngyou</cp:lastModifiedBy>
  <cp:lastPrinted>2025-02-04T09:20:47Z</cp:lastPrinted>
  <dcterms:created xsi:type="dcterms:W3CDTF">2007-04-09T04:49:51Z</dcterms:created>
  <dcterms:modified xsi:type="dcterms:W3CDTF">2025-02-04T09:20:56Z</dcterms:modified>
</cp:coreProperties>
</file>